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0" windowWidth="14325" windowHeight="8685" firstSheet="2" activeTab="9"/>
  </bookViews>
  <sheets>
    <sheet name="DATOS" sheetId="2" r:id="rId1"/>
    <sheet name="CMA" sheetId="4" r:id="rId2"/>
    <sheet name="CMA ac y al" sheetId="1" r:id="rId3"/>
    <sheet name="CMO" sheetId="5" r:id="rId4"/>
    <sheet name="CMO ac y al" sheetId="6" r:id="rId5"/>
    <sheet name="CMI" sheetId="9" r:id="rId6"/>
    <sheet name="CMI ac y al" sheetId="8" r:id="rId7"/>
    <sheet name="CMT Ac" sheetId="10" r:id="rId8"/>
    <sheet name="CMT Al" sheetId="11" r:id="rId9"/>
    <sheet name="TARIFA" sheetId="12" r:id="rId10"/>
    <sheet name="Hoja1" sheetId="13" r:id="rId11"/>
  </sheets>
  <calcPr calcId="124519"/>
</workbook>
</file>

<file path=xl/calcChain.xml><?xml version="1.0" encoding="utf-8"?>
<calcChain xmlns="http://schemas.openxmlformats.org/spreadsheetml/2006/main">
  <c r="G13" i="12"/>
  <c r="F14"/>
  <c r="F13"/>
  <c r="G4"/>
  <c r="F5"/>
  <c r="F4"/>
  <c r="E14" l="1"/>
  <c r="E13"/>
  <c r="C21" i="1" l="1"/>
  <c r="C15"/>
  <c r="C11"/>
  <c r="E19" i="13"/>
  <c r="E17"/>
  <c r="C18"/>
  <c r="B18"/>
  <c r="C17"/>
  <c r="B17"/>
  <c r="C12" i="9" l="1"/>
  <c r="C37" i="11" l="1"/>
  <c r="B8" i="12" l="1"/>
  <c r="C56" i="11"/>
  <c r="C46"/>
  <c r="C34"/>
  <c r="C45" s="1"/>
  <c r="C48" l="1"/>
  <c r="C17" l="1"/>
  <c r="C28" s="1"/>
  <c r="C29" l="1"/>
  <c r="C31" s="1"/>
  <c r="C58" s="1"/>
  <c r="B17" i="12" s="1"/>
  <c r="C17" i="10" l="1"/>
  <c r="C16"/>
  <c r="C14"/>
  <c r="C20" i="8"/>
  <c r="C17" i="9"/>
  <c r="C16"/>
  <c r="C15"/>
  <c r="C14"/>
  <c r="C13"/>
  <c r="C50" i="8"/>
  <c r="C47"/>
  <c r="C43"/>
  <c r="C42"/>
  <c r="C24"/>
  <c r="C23"/>
  <c r="C54" i="6"/>
  <c r="C51"/>
  <c r="C46"/>
  <c r="C47"/>
  <c r="C24"/>
  <c r="C25"/>
  <c r="C18" i="9" l="1"/>
  <c r="C48" i="8"/>
  <c r="C51" s="1"/>
  <c r="C53" s="1"/>
  <c r="C25"/>
  <c r="C40"/>
  <c r="C52" i="6"/>
  <c r="C55" s="1"/>
  <c r="C57" s="1"/>
  <c r="C26"/>
  <c r="C32" i="1"/>
  <c r="C33"/>
  <c r="C34"/>
  <c r="C35"/>
  <c r="C36"/>
  <c r="C37"/>
  <c r="C38"/>
  <c r="C39"/>
  <c r="C40"/>
  <c r="C41"/>
  <c r="C31"/>
  <c r="C12"/>
  <c r="C13"/>
  <c r="C14"/>
  <c r="C16"/>
  <c r="C17"/>
  <c r="C18"/>
  <c r="C19"/>
  <c r="C20"/>
  <c r="C55" i="8" l="1"/>
  <c r="B16" i="12" s="1"/>
  <c r="C26" i="8"/>
  <c r="B7" i="12" s="1"/>
  <c r="C35" i="6"/>
  <c r="C36"/>
  <c r="C37"/>
  <c r="C39"/>
  <c r="C41"/>
  <c r="C42"/>
  <c r="C12"/>
  <c r="C13"/>
  <c r="C14"/>
  <c r="C16"/>
  <c r="C18"/>
  <c r="C19"/>
  <c r="C17"/>
  <c r="C38"/>
  <c r="C40" l="1"/>
  <c r="C15"/>
  <c r="C18" i="5" l="1"/>
  <c r="C21" i="6" l="1"/>
  <c r="C27" s="1"/>
  <c r="B6" i="12" s="1"/>
  <c r="B5" s="1"/>
  <c r="E5" s="1"/>
  <c r="C44" i="6"/>
  <c r="C59" s="1"/>
  <c r="B15" i="12" s="1"/>
  <c r="B14" s="1"/>
  <c r="J14" l="1"/>
  <c r="K14"/>
  <c r="H14"/>
  <c r="G14"/>
  <c r="I14"/>
  <c r="G5"/>
  <c r="K5"/>
  <c r="H5"/>
  <c r="J5"/>
  <c r="I5"/>
  <c r="C22" i="1"/>
  <c r="C23" s="1"/>
  <c r="C24" s="1"/>
  <c r="B4" i="12" s="1"/>
  <c r="E4" s="1"/>
  <c r="C42" i="1"/>
  <c r="C43" s="1"/>
  <c r="C44" s="1"/>
  <c r="B13" i="12" s="1"/>
  <c r="C19" i="4"/>
  <c r="I13" i="12" l="1"/>
  <c r="H13"/>
  <c r="J13"/>
  <c r="K13"/>
  <c r="K4"/>
  <c r="H4"/>
  <c r="J4"/>
  <c r="I4"/>
</calcChain>
</file>

<file path=xl/sharedStrings.xml><?xml version="1.0" encoding="utf-8"?>
<sst xmlns="http://schemas.openxmlformats.org/spreadsheetml/2006/main" count="269" uniqueCount="131">
  <si>
    <t>Personal Administrativo</t>
  </si>
  <si>
    <t>Medición - Costos de Personal</t>
  </si>
  <si>
    <t>Medición - Otros Costos Imputables</t>
  </si>
  <si>
    <t>Facturación - Costos de Personal</t>
  </si>
  <si>
    <t>Facturación - Otros Costos Imputables</t>
  </si>
  <si>
    <t>Atención de Reclamos - Costos de Personal</t>
  </si>
  <si>
    <t>Atención de Reclamos- Otros Costos Imputables</t>
  </si>
  <si>
    <t>CUENTAS ACUEDUCTO</t>
  </si>
  <si>
    <t>Seguros e Impuestos</t>
  </si>
  <si>
    <t>Toma de Lecturas</t>
  </si>
  <si>
    <t>Contribuciones CRA y SSPD</t>
  </si>
  <si>
    <t>Gastos Generales</t>
  </si>
  <si>
    <t>CUENTAS ALCANTARILLADO</t>
  </si>
  <si>
    <t>MOVET</t>
  </si>
  <si>
    <t>CMA Aplicable a las Empresas con menos de 2500 Suscriptores</t>
  </si>
  <si>
    <t>Aplicando la Metodología de Pequeños</t>
  </si>
  <si>
    <t>MODELO DE VERIFICACIÓN DE ESTUDIOS TARIFARIOS</t>
  </si>
  <si>
    <t>CMA</t>
  </si>
  <si>
    <t>Nombre del Sistema</t>
  </si>
  <si>
    <t>Porcentaje (Rango 1 - 100)</t>
  </si>
  <si>
    <t>AÑO BASE</t>
  </si>
  <si>
    <t>Promedio Mensual de Suscriptores Facturados de Acueducto Nac</t>
  </si>
  <si>
    <t>Promedio Mensual de Suscriptores Facturados de Alcantarillado Nal</t>
  </si>
  <si>
    <t>Factor Sac (Rango 1 - 100)</t>
  </si>
  <si>
    <t>Factor E (Rango 1 - 1,046)</t>
  </si>
  <si>
    <t>CMO</t>
  </si>
  <si>
    <t>CMO Aplicable a las Empresas con menos de 2500 Suscriptores</t>
  </si>
  <si>
    <t>Personal de Operación y Mantenimiento</t>
  </si>
  <si>
    <t>Energía</t>
  </si>
  <si>
    <t>Químicos</t>
  </si>
  <si>
    <t>Talleres para el mantenimiento eléctrico y mecánico</t>
  </si>
  <si>
    <t>Eauipos, heramientas menores, equipo de oficina</t>
  </si>
  <si>
    <t>Almacen de Repuestos</t>
  </si>
  <si>
    <t>Contratos de Operación y Mantenimiento con Terceros</t>
  </si>
  <si>
    <t>Valor de Suministro de Agua en Bloque</t>
  </si>
  <si>
    <t>Otros costos relacionados con procesos operativos</t>
  </si>
  <si>
    <t xml:space="preserve">Apac Agua Producida en el sistema de acueducto </t>
  </si>
  <si>
    <t xml:space="preserve">Aval  ­– Sumatoria de vertimientos facturados por el prestador, </t>
  </si>
  <si>
    <t xml:space="preserve">asociados al consumo de acueducto y fuentes alternos.  </t>
  </si>
  <si>
    <t xml:space="preserve">Perdidas Aceptadas por la CRA 30%  </t>
  </si>
  <si>
    <t>TOTAL CMA ACUEDUCTO Y ALCANTARILLADO</t>
  </si>
  <si>
    <t>TOTAL CMA ACUEDUCTO</t>
  </si>
  <si>
    <t>Por Suscriptor Año</t>
  </si>
  <si>
    <t>Por Suscriptor Mes</t>
  </si>
  <si>
    <r>
      <t>CMA</t>
    </r>
    <r>
      <rPr>
        <b/>
        <sz val="20"/>
        <color theme="1"/>
        <rFont val="Century Gothic"/>
        <family val="2"/>
      </rPr>
      <t>ac</t>
    </r>
  </si>
  <si>
    <r>
      <t>CMA</t>
    </r>
    <r>
      <rPr>
        <b/>
        <sz val="20"/>
        <color theme="1"/>
        <rFont val="Century Gothic"/>
        <family val="2"/>
      </rPr>
      <t>al</t>
    </r>
  </si>
  <si>
    <t>TOTAL CMA ALCANTARILLADO</t>
  </si>
  <si>
    <t>TOTAL COSTOS CMO ACUEDUCTO Y ALCANTARILLADO</t>
  </si>
  <si>
    <r>
      <t>CMO</t>
    </r>
    <r>
      <rPr>
        <b/>
        <sz val="20"/>
        <color theme="1"/>
        <rFont val="Century Gothic"/>
        <family val="2"/>
      </rPr>
      <t>ac</t>
    </r>
  </si>
  <si>
    <r>
      <t>CMO</t>
    </r>
    <r>
      <rPr>
        <b/>
        <sz val="20"/>
        <color theme="1"/>
        <rFont val="Century Gothic"/>
        <family val="2"/>
      </rPr>
      <t>al</t>
    </r>
  </si>
  <si>
    <t>TOTAL CMO ALCANTARILLADO</t>
  </si>
  <si>
    <t>TOTAL CMO ACUEDUCTO</t>
  </si>
  <si>
    <r>
      <t>CMI</t>
    </r>
    <r>
      <rPr>
        <b/>
        <sz val="20"/>
        <color theme="1"/>
        <rFont val="Century Gothic"/>
        <family val="2"/>
      </rPr>
      <t>ac</t>
    </r>
  </si>
  <si>
    <r>
      <t>CMI</t>
    </r>
    <r>
      <rPr>
        <b/>
        <sz val="20"/>
        <color theme="1"/>
        <rFont val="Century Gothic"/>
        <family val="2"/>
      </rPr>
      <t>al</t>
    </r>
  </si>
  <si>
    <t>No calcular costo medio de inversión. Aquellos prestadores con menos de dos mil quinientos</t>
  </si>
  <si>
    <t>usuarios que no tengan un plan de inversiones o plan maestro debidamente cuantificado</t>
  </si>
  <si>
    <t>podrán incluir en los costos de operación un valor que cubra sus necesidades anuales de</t>
  </si>
  <si>
    <t>inversión en infraestructura y no calcular costo medio de inversión</t>
  </si>
  <si>
    <t>Reposición de Redes</t>
  </si>
  <si>
    <t>Estudios y Diseños</t>
  </si>
  <si>
    <t>Aumentar Cobertura</t>
  </si>
  <si>
    <t>Mejorar la Calidad</t>
  </si>
  <si>
    <t>Aumentar Continuidad</t>
  </si>
  <si>
    <t>TOTAL CMI ACUEDUCTO</t>
  </si>
  <si>
    <t>TOTAL CMI ALCANTARILLADO</t>
  </si>
  <si>
    <t>Programa de Redución de Perdidas</t>
  </si>
  <si>
    <t>TOTAL COSTOS CMI ACUEDUCTO Y ALCANTARILLADO</t>
  </si>
  <si>
    <t>CMI</t>
  </si>
  <si>
    <t>CMT ac</t>
  </si>
  <si>
    <t>El costo medio de la tasa de uso se calculará de la siguiente forma:</t>
  </si>
  <si>
    <t>De conformidad con lo establecido en la Resolución 240 de 2004, la tarifa mínima vigente para los años 2007 y 2008 es:</t>
  </si>
  <si>
    <t>año 2011</t>
  </si>
  <si>
    <t>CMT al</t>
  </si>
  <si>
    <t>El costo medio de la tasa Retributiva se calculará de la siguiente forma:</t>
  </si>
  <si>
    <t>año 2011 DBO</t>
  </si>
  <si>
    <t>año 2011 SST</t>
  </si>
  <si>
    <t>DBO</t>
  </si>
  <si>
    <t>Carga Contaminante, en kilogramos por día (kg/día)</t>
  </si>
  <si>
    <t>Caudal promedio, en litros por segundo (l/s)</t>
  </si>
  <si>
    <t>Concentración de la sustancia contaminante, en miligramos por litro (mg/l)</t>
  </si>
  <si>
    <t>Factor de conversión de unidades</t>
  </si>
  <si>
    <t>Tiempo de vertimiento del usuario, en horas por día (h)</t>
  </si>
  <si>
    <t xml:space="preserve">Factor regional del parámetro i. </t>
  </si>
  <si>
    <t>i estimada para los usuarios sin caracterización</t>
  </si>
  <si>
    <t>Tarifa mínima del parámetro</t>
  </si>
  <si>
    <t>SST</t>
  </si>
  <si>
    <t>TARIFA</t>
  </si>
  <si>
    <t>ACUEDUCTO</t>
  </si>
  <si>
    <t>CARGO FIJO</t>
  </si>
  <si>
    <t>CARGO POR CONSUMO</t>
  </si>
  <si>
    <t>CMT</t>
  </si>
  <si>
    <t>ALCANTARILLADO</t>
  </si>
  <si>
    <t>ESTRATO 1</t>
  </si>
  <si>
    <t>ESTRATO 2</t>
  </si>
  <si>
    <t>ESTRATO 3</t>
  </si>
  <si>
    <t>OFICIAL</t>
  </si>
  <si>
    <t>COMERCIAL</t>
  </si>
  <si>
    <t>INDUSTRIAL</t>
  </si>
  <si>
    <t>TARIFAS ALCANTARILLADO</t>
  </si>
  <si>
    <t>TARIFAS ACUEDUCTO</t>
  </si>
  <si>
    <t>Nueva</t>
  </si>
  <si>
    <t>Actual</t>
  </si>
  <si>
    <t>La Belleza</t>
  </si>
  <si>
    <t xml:space="preserve">ACUEDUCTO </t>
  </si>
  <si>
    <t xml:space="preserve">ALCANTARILLADO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</si>
  <si>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</si>
  <si>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</si>
  <si>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</si>
  <si>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</si>
  <si>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</si>
  <si>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</si>
  <si>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</si>
  <si>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</si>
  <si>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</si>
  <si>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</si>
  <si>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</si>
  <si>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</si>
  <si>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SUMA</t>
  </si>
  <si>
    <t>PROMEDIO</t>
  </si>
  <si>
    <t> 5.500 MTS CUBICOS</t>
  </si>
  <si>
    <t> 5.100 MTS CUBICOS</t>
  </si>
  <si>
    <t> 4.800 MTS CUBICOS</t>
  </si>
  <si>
    <t> 4.300 MTS CUBICOS</t>
  </si>
  <si>
    <t> 4.500 MTS CUBICOS</t>
  </si>
  <si>
    <t xml:space="preserve"> 4.650 MTS CUBICOS </t>
  </si>
  <si>
    <t> 5.000 MTS CUBICOS</t>
  </si>
  <si>
    <t> 5.230 MTS CUBICOS</t>
  </si>
  <si>
    <t> 4.950 METROS CUBICOS</t>
  </si>
  <si>
    <t> 4.385 MTS CUBICOS</t>
  </si>
  <si>
    <t> 4.960 MTS CUBICOS</t>
  </si>
  <si>
    <t> 5.550 MTS CUBICOS</t>
  </si>
</sst>
</file>

<file path=xl/styles.xml><?xml version="1.0" encoding="utf-8"?>
<styleSheet xmlns="http://schemas.openxmlformats.org/spreadsheetml/2006/main">
  <fonts count="3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Century Gothic"/>
      <family val="2"/>
    </font>
    <font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entury Gothic"/>
      <family val="2"/>
    </font>
    <font>
      <b/>
      <i/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sz val="20"/>
      <color theme="1"/>
      <name val="Century Gothic"/>
      <family val="2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sz val="14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16"/>
      <color theme="1"/>
      <name val="Century Gothic"/>
      <family val="2"/>
    </font>
    <font>
      <b/>
      <sz val="12"/>
      <name val="Century Gothic"/>
      <family val="2"/>
    </font>
    <font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20"/>
      <color theme="1"/>
      <name val="Century Gothic"/>
      <family val="2"/>
    </font>
    <font>
      <sz val="20"/>
      <color theme="1"/>
      <name val="Century Gothic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/>
    <xf numFmtId="0" fontId="7" fillId="0" borderId="0" xfId="0" applyFont="1"/>
    <xf numFmtId="4" fontId="4" fillId="0" borderId="0" xfId="0" applyNumberFormat="1" applyFont="1"/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0" fontId="1" fillId="0" borderId="0" xfId="0" applyFont="1"/>
    <xf numFmtId="4" fontId="4" fillId="0" borderId="0" xfId="0" applyNumberFormat="1" applyFont="1" applyAlignme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0" xfId="0" applyNumberFormat="1" applyFont="1"/>
    <xf numFmtId="0" fontId="17" fillId="0" borderId="0" xfId="0" applyFont="1"/>
    <xf numFmtId="3" fontId="7" fillId="0" borderId="0" xfId="0" applyNumberFormat="1" applyFont="1"/>
    <xf numFmtId="2" fontId="4" fillId="0" borderId="0" xfId="0" applyNumberFormat="1" applyFont="1"/>
    <xf numFmtId="0" fontId="19" fillId="0" borderId="0" xfId="1" applyFont="1"/>
    <xf numFmtId="0" fontId="20" fillId="0" borderId="0" xfId="0" applyFont="1"/>
    <xf numFmtId="3" fontId="20" fillId="0" borderId="0" xfId="0" applyNumberFormat="1" applyFont="1"/>
    <xf numFmtId="0" fontId="19" fillId="0" borderId="0" xfId="0" applyFont="1"/>
    <xf numFmtId="0" fontId="22" fillId="0" borderId="0" xfId="0" applyFont="1"/>
    <xf numFmtId="3" fontId="22" fillId="0" borderId="0" xfId="0" applyNumberFormat="1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vertical="center"/>
    </xf>
    <xf numFmtId="0" fontId="21" fillId="0" borderId="0" xfId="0" applyFont="1"/>
    <xf numFmtId="4" fontId="8" fillId="0" borderId="0" xfId="0" applyNumberFormat="1" applyFont="1"/>
    <xf numFmtId="3" fontId="21" fillId="0" borderId="0" xfId="0" applyNumberFormat="1" applyFont="1"/>
    <xf numFmtId="0" fontId="28" fillId="0" borderId="0" xfId="0" applyFont="1"/>
    <xf numFmtId="0" fontId="29" fillId="0" borderId="0" xfId="0" applyFont="1"/>
    <xf numFmtId="0" fontId="30" fillId="2" borderId="0" xfId="0" applyFont="1" applyFill="1"/>
    <xf numFmtId="3" fontId="30" fillId="2" borderId="0" xfId="0" applyNumberFormat="1" applyFont="1" applyFill="1"/>
    <xf numFmtId="3" fontId="29" fillId="0" borderId="0" xfId="0" applyNumberFormat="1" applyFont="1"/>
    <xf numFmtId="3" fontId="14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3" fontId="25" fillId="0" borderId="0" xfId="0" applyNumberFormat="1" applyFont="1"/>
    <xf numFmtId="3" fontId="16" fillId="0" borderId="0" xfId="0" applyNumberFormat="1" applyFont="1"/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4" fillId="0" borderId="0" xfId="0" applyNumberFormat="1" applyFont="1"/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21" fillId="0" borderId="0" xfId="0" applyNumberFormat="1" applyFont="1" applyFill="1"/>
    <xf numFmtId="3" fontId="14" fillId="0" borderId="0" xfId="0" applyNumberFormat="1" applyFont="1"/>
    <xf numFmtId="0" fontId="36" fillId="0" borderId="2" xfId="0" applyFont="1" applyBorder="1" applyAlignment="1">
      <alignment vertical="center"/>
    </xf>
    <xf numFmtId="3" fontId="35" fillId="3" borderId="1" xfId="0" applyNumberFormat="1" applyFont="1" applyFill="1" applyBorder="1" applyAlignment="1">
      <alignment horizontal="center" vertical="center"/>
    </xf>
    <xf numFmtId="3" fontId="36" fillId="0" borderId="2" xfId="0" applyNumberFormat="1" applyFont="1" applyBorder="1" applyAlignment="1">
      <alignment vertical="center"/>
    </xf>
    <xf numFmtId="3" fontId="37" fillId="0" borderId="0" xfId="0" applyNumberFormat="1" applyFont="1"/>
    <xf numFmtId="0" fontId="35" fillId="3" borderId="3" xfId="0" applyFont="1" applyFill="1" applyBorder="1" applyAlignment="1">
      <alignment horizontal="center" vertical="center"/>
    </xf>
    <xf numFmtId="4" fontId="0" fillId="0" borderId="0" xfId="0" applyNumberForma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27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multiLvlStrRef>
              <c:f>TARIFA!$E$2:$K$3</c:f>
              <c:multiLvlStrCache>
                <c:ptCount val="7"/>
                <c:lvl>
                  <c:pt idx="0">
                    <c:v>Nueva</c:v>
                  </c:pt>
                  <c:pt idx="1">
                    <c:v>ESTRATO 1</c:v>
                  </c:pt>
                  <c:pt idx="2">
                    <c:v>ESTRATO 2</c:v>
                  </c:pt>
                  <c:pt idx="3">
                    <c:v>ESTRATO 3</c:v>
                  </c:pt>
                  <c:pt idx="4">
                    <c:v>OFICIAL</c:v>
                  </c:pt>
                  <c:pt idx="5">
                    <c:v>COMERCIAL</c:v>
                  </c:pt>
                  <c:pt idx="6">
                    <c:v>INDUSTRIAL</c:v>
                  </c:pt>
                </c:lvl>
                <c:lvl>
                  <c:pt idx="0">
                    <c:v>TARIFAS ACUEDUCTO</c:v>
                  </c:pt>
                </c:lvl>
              </c:multiLvlStrCache>
            </c:multiLvlStrRef>
          </c:cat>
          <c:val>
            <c:numRef>
              <c:f>TARIFA!$E$4:$K$4</c:f>
              <c:numCache>
                <c:formatCode>#,##0</c:formatCode>
                <c:ptCount val="7"/>
                <c:pt idx="0">
                  <c:v>3206.4911042944782</c:v>
                </c:pt>
                <c:pt idx="1">
                  <c:v>1603.2455521472391</c:v>
                </c:pt>
                <c:pt idx="2">
                  <c:v>1923.8946625766869</c:v>
                </c:pt>
                <c:pt idx="3">
                  <c:v>2725.5174386503063</c:v>
                </c:pt>
                <c:pt idx="4">
                  <c:v>3206.4911042944782</c:v>
                </c:pt>
                <c:pt idx="5">
                  <c:v>4809.7366564417171</c:v>
                </c:pt>
                <c:pt idx="6">
                  <c:v>4168.4384355828215</c:v>
                </c:pt>
              </c:numCache>
            </c:numRef>
          </c:val>
        </c:ser>
        <c:ser>
          <c:idx val="1"/>
          <c:order val="1"/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multiLvlStrRef>
              <c:f>TARIFA!$E$2:$K$3</c:f>
              <c:multiLvlStrCache>
                <c:ptCount val="7"/>
                <c:lvl>
                  <c:pt idx="0">
                    <c:v>Nueva</c:v>
                  </c:pt>
                  <c:pt idx="1">
                    <c:v>ESTRATO 1</c:v>
                  </c:pt>
                  <c:pt idx="2">
                    <c:v>ESTRATO 2</c:v>
                  </c:pt>
                  <c:pt idx="3">
                    <c:v>ESTRATO 3</c:v>
                  </c:pt>
                  <c:pt idx="4">
                    <c:v>OFICIAL</c:v>
                  </c:pt>
                  <c:pt idx="5">
                    <c:v>COMERCIAL</c:v>
                  </c:pt>
                  <c:pt idx="6">
                    <c:v>INDUSTRIAL</c:v>
                  </c:pt>
                </c:lvl>
                <c:lvl>
                  <c:pt idx="0">
                    <c:v>TARIFAS ACUEDUCTO</c:v>
                  </c:pt>
                </c:lvl>
              </c:multiLvlStrCache>
            </c:multiLvlStrRef>
          </c:cat>
          <c:val>
            <c:numRef>
              <c:f>TARIFA!$E$5:$K$5</c:f>
              <c:numCache>
                <c:formatCode>#,##0</c:formatCode>
                <c:ptCount val="7"/>
                <c:pt idx="0">
                  <c:v>1053.1543998637021</c:v>
                </c:pt>
                <c:pt idx="1">
                  <c:v>526.57719993185106</c:v>
                </c:pt>
                <c:pt idx="2">
                  <c:v>631.89263991822122</c:v>
                </c:pt>
                <c:pt idx="3">
                  <c:v>895.18123988414675</c:v>
                </c:pt>
                <c:pt idx="4">
                  <c:v>1053.1543998637021</c:v>
                </c:pt>
                <c:pt idx="5">
                  <c:v>1579.7315997955532</c:v>
                </c:pt>
                <c:pt idx="6">
                  <c:v>1369.1007198228126</c:v>
                </c:pt>
              </c:numCache>
            </c:numRef>
          </c:val>
        </c:ser>
        <c:dLbls/>
        <c:axId val="97902976"/>
        <c:axId val="97904512"/>
      </c:barChart>
      <c:catAx>
        <c:axId val="979029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7904512"/>
        <c:crosses val="autoZero"/>
        <c:auto val="1"/>
        <c:lblAlgn val="ctr"/>
        <c:lblOffset val="100"/>
      </c:catAx>
      <c:valAx>
        <c:axId val="9790451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790297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multiLvlStrRef>
              <c:f>TARIFA!$E$11:$K$12</c:f>
              <c:multiLvlStrCache>
                <c:ptCount val="7"/>
                <c:lvl>
                  <c:pt idx="0">
                    <c:v>Nueva</c:v>
                  </c:pt>
                  <c:pt idx="1">
                    <c:v>ESTRATO 1</c:v>
                  </c:pt>
                  <c:pt idx="2">
                    <c:v>ESTRATO 2</c:v>
                  </c:pt>
                  <c:pt idx="3">
                    <c:v>ESTRATO 3</c:v>
                  </c:pt>
                  <c:pt idx="4">
                    <c:v>OFICIAL</c:v>
                  </c:pt>
                  <c:pt idx="5">
                    <c:v>COMERCIAL</c:v>
                  </c:pt>
                  <c:pt idx="6">
                    <c:v>INDUSTRIAL</c:v>
                  </c:pt>
                </c:lvl>
                <c:lvl>
                  <c:pt idx="0">
                    <c:v>TARIFAS ALCANTARILLADO</c:v>
                  </c:pt>
                </c:lvl>
              </c:multiLvlStrCache>
            </c:multiLvlStrRef>
          </c:cat>
          <c:val>
            <c:numRef>
              <c:f>TARIFA!$E$13:$K$13</c:f>
              <c:numCache>
                <c:formatCode>#,##0</c:formatCode>
                <c:ptCount val="7"/>
                <c:pt idx="0">
                  <c:v>2297.3980219780219</c:v>
                </c:pt>
                <c:pt idx="1">
                  <c:v>1148.699010989011</c:v>
                </c:pt>
                <c:pt idx="2">
                  <c:v>1378.4388131868131</c:v>
                </c:pt>
                <c:pt idx="3">
                  <c:v>1952.7883186813185</c:v>
                </c:pt>
                <c:pt idx="4">
                  <c:v>2297.3980219780219</c:v>
                </c:pt>
                <c:pt idx="5">
                  <c:v>3446.0970329670326</c:v>
                </c:pt>
                <c:pt idx="6">
                  <c:v>2986.6174285714287</c:v>
                </c:pt>
              </c:numCache>
            </c:numRef>
          </c:val>
        </c:ser>
        <c:ser>
          <c:idx val="1"/>
          <c:order val="1"/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multiLvlStrRef>
              <c:f>TARIFA!$E$11:$K$12</c:f>
              <c:multiLvlStrCache>
                <c:ptCount val="7"/>
                <c:lvl>
                  <c:pt idx="0">
                    <c:v>Nueva</c:v>
                  </c:pt>
                  <c:pt idx="1">
                    <c:v>ESTRATO 1</c:v>
                  </c:pt>
                  <c:pt idx="2">
                    <c:v>ESTRATO 2</c:v>
                  </c:pt>
                  <c:pt idx="3">
                    <c:v>ESTRATO 3</c:v>
                  </c:pt>
                  <c:pt idx="4">
                    <c:v>OFICIAL</c:v>
                  </c:pt>
                  <c:pt idx="5">
                    <c:v>COMERCIAL</c:v>
                  </c:pt>
                  <c:pt idx="6">
                    <c:v>INDUSTRIAL</c:v>
                  </c:pt>
                </c:lvl>
                <c:lvl>
                  <c:pt idx="0">
                    <c:v>TARIFAS ALCANTARILLADO</c:v>
                  </c:pt>
                </c:lvl>
              </c:multiLvlStrCache>
            </c:multiLvlStrRef>
          </c:cat>
          <c:val>
            <c:numRef>
              <c:f>TARIFA!$E$14:$K$14</c:f>
              <c:numCache>
                <c:formatCode>#,##0</c:formatCode>
                <c:ptCount val="7"/>
                <c:pt idx="0">
                  <c:v>624.22801659907361</c:v>
                </c:pt>
                <c:pt idx="1">
                  <c:v>312.11400829953681</c:v>
                </c:pt>
                <c:pt idx="2">
                  <c:v>374.53680995944416</c:v>
                </c:pt>
                <c:pt idx="3">
                  <c:v>530.59381410921253</c:v>
                </c:pt>
                <c:pt idx="4">
                  <c:v>624.22801659907361</c:v>
                </c:pt>
                <c:pt idx="5">
                  <c:v>936.34202489861036</c:v>
                </c:pt>
                <c:pt idx="6">
                  <c:v>811.49642157879566</c:v>
                </c:pt>
              </c:numCache>
            </c:numRef>
          </c:val>
        </c:ser>
        <c:dLbls/>
        <c:axId val="98216192"/>
        <c:axId val="98222080"/>
      </c:barChart>
      <c:catAx>
        <c:axId val="982161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222080"/>
        <c:crosses val="autoZero"/>
        <c:auto val="1"/>
        <c:lblAlgn val="ctr"/>
        <c:lblOffset val="100"/>
      </c:catAx>
      <c:valAx>
        <c:axId val="9822208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21619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TARIFA!$C$4</c:f>
              <c:strCache>
                <c:ptCount val="1"/>
                <c:pt idx="0">
                  <c:v>CARGO FIJO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TARIFA!$D$3:$E$3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TARIFA!$D$4:$E$4</c:f>
              <c:numCache>
                <c:formatCode>#,##0</c:formatCode>
                <c:ptCount val="2"/>
                <c:pt idx="0">
                  <c:v>8056</c:v>
                </c:pt>
                <c:pt idx="1">
                  <c:v>3206.4911042944782</c:v>
                </c:pt>
              </c:numCache>
            </c:numRef>
          </c:val>
        </c:ser>
        <c:ser>
          <c:idx val="1"/>
          <c:order val="1"/>
          <c:tx>
            <c:strRef>
              <c:f>TARIFA!$C$5</c:f>
              <c:strCache>
                <c:ptCount val="1"/>
                <c:pt idx="0">
                  <c:v>CARGO POR CONSUMO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TARIFA!$D$3:$E$3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TARIFA!$D$5:$E$5</c:f>
              <c:numCache>
                <c:formatCode>#,##0</c:formatCode>
                <c:ptCount val="2"/>
                <c:pt idx="0">
                  <c:v>250</c:v>
                </c:pt>
                <c:pt idx="1">
                  <c:v>1053.1543998637021</c:v>
                </c:pt>
              </c:numCache>
            </c:numRef>
          </c:val>
        </c:ser>
        <c:dLbls/>
        <c:shape val="cylinder"/>
        <c:axId val="98710272"/>
        <c:axId val="98711808"/>
        <c:axId val="0"/>
      </c:bar3DChart>
      <c:catAx>
        <c:axId val="987102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11808"/>
        <c:crosses val="autoZero"/>
        <c:auto val="1"/>
        <c:lblAlgn val="ctr"/>
        <c:lblOffset val="100"/>
      </c:catAx>
      <c:valAx>
        <c:axId val="987118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102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CO"/>
          </a:pPr>
          <a:endParaRPr lang="es-ES"/>
        </a:p>
      </c:txPr>
    </c:title>
    <c:plotArea>
      <c:layout/>
      <c:lineChart>
        <c:grouping val="stacked"/>
        <c:ser>
          <c:idx val="0"/>
          <c:order val="0"/>
          <c:tx>
            <c:strRef>
              <c:f>TARIFA!$C$4</c:f>
              <c:strCache>
                <c:ptCount val="1"/>
                <c:pt idx="0">
                  <c:v>CARGO FIJO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TARIFA!$D$3:$E$3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TARIFA!$D$4:$E$4</c:f>
              <c:numCache>
                <c:formatCode>#,##0</c:formatCode>
                <c:ptCount val="2"/>
                <c:pt idx="0">
                  <c:v>8056</c:v>
                </c:pt>
                <c:pt idx="1">
                  <c:v>3206.4911042944782</c:v>
                </c:pt>
              </c:numCache>
            </c:numRef>
          </c:val>
        </c:ser>
        <c:dLbls/>
        <c:marker val="1"/>
        <c:axId val="98723712"/>
        <c:axId val="98725248"/>
      </c:lineChart>
      <c:catAx>
        <c:axId val="987237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25248"/>
        <c:crosses val="autoZero"/>
        <c:auto val="1"/>
        <c:lblAlgn val="ctr"/>
        <c:lblOffset val="100"/>
      </c:catAx>
      <c:valAx>
        <c:axId val="9872524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23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CO"/>
          </a:pPr>
          <a:endParaRPr lang="es-ES"/>
        </a:p>
      </c:txPr>
    </c:title>
    <c:plotArea>
      <c:layout/>
      <c:lineChart>
        <c:grouping val="stacked"/>
        <c:ser>
          <c:idx val="0"/>
          <c:order val="0"/>
          <c:tx>
            <c:strRef>
              <c:f>TARIFA!$C$5</c:f>
              <c:strCache>
                <c:ptCount val="1"/>
                <c:pt idx="0">
                  <c:v>CARGO POR CONSUMO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TARIFA!$D$3:$E$3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TARIFA!$D$5:$E$5</c:f>
              <c:numCache>
                <c:formatCode>#,##0</c:formatCode>
                <c:ptCount val="2"/>
                <c:pt idx="0">
                  <c:v>250</c:v>
                </c:pt>
                <c:pt idx="1">
                  <c:v>1053.1543998637021</c:v>
                </c:pt>
              </c:numCache>
            </c:numRef>
          </c:val>
        </c:ser>
        <c:dLbls/>
        <c:marker val="1"/>
        <c:axId val="98770304"/>
        <c:axId val="98772096"/>
      </c:lineChart>
      <c:catAx>
        <c:axId val="98770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72096"/>
        <c:crosses val="autoZero"/>
        <c:auto val="1"/>
        <c:lblAlgn val="ctr"/>
        <c:lblOffset val="100"/>
      </c:catAx>
      <c:valAx>
        <c:axId val="9877209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70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TARIFA!$C$13</c:f>
              <c:strCache>
                <c:ptCount val="1"/>
                <c:pt idx="0">
                  <c:v>CARGO FIJO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TARIFA!$D$12:$E$12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TARIFA!$D$13:$E$13</c:f>
              <c:numCache>
                <c:formatCode>#,##0</c:formatCode>
                <c:ptCount val="2"/>
                <c:pt idx="0">
                  <c:v>4028</c:v>
                </c:pt>
                <c:pt idx="1">
                  <c:v>2297.3980219780219</c:v>
                </c:pt>
              </c:numCache>
            </c:numRef>
          </c:val>
        </c:ser>
        <c:ser>
          <c:idx val="1"/>
          <c:order val="1"/>
          <c:tx>
            <c:strRef>
              <c:f>TARIFA!$C$14</c:f>
              <c:strCache>
                <c:ptCount val="1"/>
                <c:pt idx="0">
                  <c:v>CARGO POR CONSUMO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TARIFA!$D$12:$E$12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TARIFA!$D$14:$E$14</c:f>
              <c:numCache>
                <c:formatCode>#,##0</c:formatCode>
                <c:ptCount val="2"/>
                <c:pt idx="0">
                  <c:v>177</c:v>
                </c:pt>
                <c:pt idx="1">
                  <c:v>624.22801659907361</c:v>
                </c:pt>
              </c:numCache>
            </c:numRef>
          </c:val>
        </c:ser>
        <c:dLbls/>
        <c:shape val="cylinder"/>
        <c:axId val="98798208"/>
        <c:axId val="98804096"/>
        <c:axId val="0"/>
      </c:bar3DChart>
      <c:catAx>
        <c:axId val="987982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804096"/>
        <c:crosses val="autoZero"/>
        <c:auto val="1"/>
        <c:lblAlgn val="ctr"/>
        <c:lblOffset val="100"/>
      </c:catAx>
      <c:valAx>
        <c:axId val="9880409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7982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title>
      <c:txPr>
        <a:bodyPr/>
        <a:lstStyle/>
        <a:p>
          <a:pPr>
            <a:defRPr lang="es-CO"/>
          </a:pPr>
          <a:endParaRPr lang="es-ES"/>
        </a:p>
      </c:txPr>
    </c:title>
    <c:plotArea>
      <c:layout/>
      <c:lineChart>
        <c:grouping val="stacked"/>
        <c:ser>
          <c:idx val="0"/>
          <c:order val="0"/>
          <c:tx>
            <c:strRef>
              <c:f>TARIFA!$C$13</c:f>
              <c:strCache>
                <c:ptCount val="1"/>
                <c:pt idx="0">
                  <c:v>CARGO FIJO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TARIFA!$D$12:$E$12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TARIFA!$D$13:$E$13</c:f>
              <c:numCache>
                <c:formatCode>#,##0</c:formatCode>
                <c:ptCount val="2"/>
                <c:pt idx="0">
                  <c:v>4028</c:v>
                </c:pt>
                <c:pt idx="1">
                  <c:v>2297.3980219780219</c:v>
                </c:pt>
              </c:numCache>
            </c:numRef>
          </c:val>
        </c:ser>
        <c:dLbls/>
        <c:marker val="1"/>
        <c:axId val="98840576"/>
        <c:axId val="98842112"/>
      </c:lineChart>
      <c:catAx>
        <c:axId val="988405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842112"/>
        <c:crosses val="autoZero"/>
        <c:auto val="1"/>
        <c:lblAlgn val="ctr"/>
        <c:lblOffset val="100"/>
      </c:catAx>
      <c:valAx>
        <c:axId val="9884211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84057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title>
      <c:txPr>
        <a:bodyPr/>
        <a:lstStyle/>
        <a:p>
          <a:pPr>
            <a:defRPr lang="es-CO"/>
          </a:pPr>
          <a:endParaRPr lang="es-ES"/>
        </a:p>
      </c:txPr>
    </c:title>
    <c:plotArea>
      <c:layout/>
      <c:lineChart>
        <c:grouping val="stacked"/>
        <c:ser>
          <c:idx val="0"/>
          <c:order val="0"/>
          <c:tx>
            <c:strRef>
              <c:f>TARIFA!$C$14</c:f>
              <c:strCache>
                <c:ptCount val="1"/>
                <c:pt idx="0">
                  <c:v>CARGO POR CONSUMO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TARIFA!$D$12:$E$12</c:f>
              <c:strCache>
                <c:ptCount val="2"/>
                <c:pt idx="0">
                  <c:v>Actual</c:v>
                </c:pt>
                <c:pt idx="1">
                  <c:v>Nueva</c:v>
                </c:pt>
              </c:strCache>
            </c:strRef>
          </c:cat>
          <c:val>
            <c:numRef>
              <c:f>TARIFA!$D$14:$E$14</c:f>
              <c:numCache>
                <c:formatCode>#,##0</c:formatCode>
                <c:ptCount val="2"/>
                <c:pt idx="0">
                  <c:v>177</c:v>
                </c:pt>
                <c:pt idx="1">
                  <c:v>624.22801659907361</c:v>
                </c:pt>
              </c:numCache>
            </c:numRef>
          </c:val>
        </c:ser>
        <c:dLbls/>
        <c:marker val="1"/>
        <c:axId val="98870784"/>
        <c:axId val="98872320"/>
      </c:lineChart>
      <c:catAx>
        <c:axId val="988707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872320"/>
        <c:crosses val="autoZero"/>
        <c:auto val="1"/>
        <c:lblAlgn val="ctr"/>
        <c:lblOffset val="100"/>
      </c:catAx>
      <c:valAx>
        <c:axId val="9887232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98870784"/>
        <c:crosses val="autoZero"/>
        <c:crossBetween val="between"/>
      </c:valAx>
    </c:plotArea>
    <c:legend>
      <c:legendPos val="r"/>
      <c:txPr>
        <a:bodyPr/>
        <a:lstStyle/>
        <a:p>
          <a:pPr>
            <a:defRPr lang="es-CO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7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12" Type="http://schemas.openxmlformats.org/officeDocument/2006/relationships/image" Target="../media/image32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</xdr:col>
      <xdr:colOff>628650</xdr:colOff>
      <xdr:row>25</xdr:row>
      <xdr:rowOff>19050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4981575"/>
          <a:ext cx="6286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1152525</xdr:colOff>
      <xdr:row>24</xdr:row>
      <xdr:rowOff>19050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4762500"/>
          <a:ext cx="11525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1695450</xdr:colOff>
      <xdr:row>25</xdr:row>
      <xdr:rowOff>209549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5200650"/>
          <a:ext cx="16954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228600</xdr:colOff>
      <xdr:row>27</xdr:row>
      <xdr:rowOff>19050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5419725"/>
          <a:ext cx="228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200025</xdr:rowOff>
    </xdr:from>
    <xdr:to>
      <xdr:col>1</xdr:col>
      <xdr:colOff>962025</xdr:colOff>
      <xdr:row>46</xdr:row>
      <xdr:rowOff>0</xdr:rowOff>
    </xdr:to>
    <xdr:pic>
      <xdr:nvPicPr>
        <xdr:cNvPr id="18" name="17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620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56</xdr:row>
      <xdr:rowOff>38100</xdr:rowOff>
    </xdr:from>
    <xdr:to>
      <xdr:col>1</xdr:col>
      <xdr:colOff>3752850</xdr:colOff>
      <xdr:row>58</xdr:row>
      <xdr:rowOff>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11830050"/>
          <a:ext cx="3743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333375</xdr:colOff>
      <xdr:row>47</xdr:row>
      <xdr:rowOff>19050</xdr:rowOff>
    </xdr:to>
    <xdr:pic>
      <xdr:nvPicPr>
        <xdr:cNvPr id="25" name="2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9601200"/>
          <a:ext cx="3333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428625</xdr:colOff>
      <xdr:row>48</xdr:row>
      <xdr:rowOff>19050</xdr:rowOff>
    </xdr:to>
    <xdr:pic>
      <xdr:nvPicPr>
        <xdr:cNvPr id="26" name="2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9820275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333375</xdr:colOff>
      <xdr:row>49</xdr:row>
      <xdr:rowOff>19050</xdr:rowOff>
    </xdr:to>
    <xdr:pic>
      <xdr:nvPicPr>
        <xdr:cNvPr id="27" name="2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0039350"/>
          <a:ext cx="3333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733425</xdr:colOff>
      <xdr:row>51</xdr:row>
      <xdr:rowOff>19050</xdr:rowOff>
    </xdr:to>
    <xdr:pic>
      <xdr:nvPicPr>
        <xdr:cNvPr id="29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0477500"/>
          <a:ext cx="7334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866775</xdr:colOff>
      <xdr:row>53</xdr:row>
      <xdr:rowOff>0</xdr:rowOff>
    </xdr:to>
    <xdr:pic>
      <xdr:nvPicPr>
        <xdr:cNvPr id="30" name="29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0696575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952500</xdr:colOff>
      <xdr:row>54</xdr:row>
      <xdr:rowOff>19050</xdr:rowOff>
    </xdr:to>
    <xdr:pic>
      <xdr:nvPicPr>
        <xdr:cNvPr id="31" name="30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1134725"/>
          <a:ext cx="9525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2571750</xdr:colOff>
      <xdr:row>56</xdr:row>
      <xdr:rowOff>0</xdr:rowOff>
    </xdr:to>
    <xdr:pic>
      <xdr:nvPicPr>
        <xdr:cNvPr id="32" name="31 Imagen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1353800"/>
          <a:ext cx="25717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228600</xdr:colOff>
      <xdr:row>59</xdr:row>
      <xdr:rowOff>66675</xdr:rowOff>
    </xdr:to>
    <xdr:pic>
      <xdr:nvPicPr>
        <xdr:cNvPr id="33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2449175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4067175</xdr:colOff>
      <xdr:row>30</xdr:row>
      <xdr:rowOff>209550</xdr:rowOff>
    </xdr:to>
    <xdr:pic>
      <xdr:nvPicPr>
        <xdr:cNvPr id="35" name="34 Image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105650"/>
          <a:ext cx="44767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2152650</xdr:colOff>
      <xdr:row>7</xdr:row>
      <xdr:rowOff>76200</xdr:rowOff>
    </xdr:to>
    <xdr:pic>
      <xdr:nvPicPr>
        <xdr:cNvPr id="36" name="35 Imagen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76400"/>
          <a:ext cx="25622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628650</xdr:colOff>
      <xdr:row>24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6038850"/>
          <a:ext cx="6286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1152525</xdr:colOff>
      <xdr:row>23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5819775"/>
          <a:ext cx="11525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1695450</xdr:colOff>
      <xdr:row>24</xdr:row>
      <xdr:rowOff>209549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6257925"/>
          <a:ext cx="16954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228600</xdr:colOff>
      <xdr:row>26</xdr:row>
      <xdr:rowOff>19050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647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</xdr:row>
      <xdr:rowOff>200025</xdr:rowOff>
    </xdr:from>
    <xdr:to>
      <xdr:col>1</xdr:col>
      <xdr:colOff>962025</xdr:colOff>
      <xdr:row>42</xdr:row>
      <xdr:rowOff>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1239500"/>
          <a:ext cx="9620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52</xdr:row>
      <xdr:rowOff>38100</xdr:rowOff>
    </xdr:from>
    <xdr:to>
      <xdr:col>1</xdr:col>
      <xdr:colOff>3752850</xdr:colOff>
      <xdr:row>54</xdr:row>
      <xdr:rowOff>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13706475"/>
          <a:ext cx="3743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333375</xdr:colOff>
      <xdr:row>43</xdr:row>
      <xdr:rowOff>19050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1477625"/>
          <a:ext cx="3333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428625</xdr:colOff>
      <xdr:row>44</xdr:row>
      <xdr:rowOff>19050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1696700"/>
          <a:ext cx="4286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333375</xdr:colOff>
      <xdr:row>45</xdr:row>
      <xdr:rowOff>19050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1915775"/>
          <a:ext cx="3333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733425</xdr:colOff>
      <xdr:row>47</xdr:row>
      <xdr:rowOff>19050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2353925"/>
          <a:ext cx="7334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866775</xdr:colOff>
      <xdr:row>49</xdr:row>
      <xdr:rowOff>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257300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952500</xdr:colOff>
      <xdr:row>50</xdr:row>
      <xdr:rowOff>19050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3011150"/>
          <a:ext cx="9525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2571750</xdr:colOff>
      <xdr:row>52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3230225"/>
          <a:ext cx="25717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228600</xdr:colOff>
      <xdr:row>55</xdr:row>
      <xdr:rowOff>66675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4106525"/>
          <a:ext cx="2286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2152650</xdr:colOff>
      <xdr:row>7</xdr:row>
      <xdr:rowOff>76200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76400"/>
          <a:ext cx="25622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4067175</xdr:colOff>
      <xdr:row>29</xdr:row>
      <xdr:rowOff>209550</xdr:rowOff>
    </xdr:to>
    <xdr:pic>
      <xdr:nvPicPr>
        <xdr:cNvPr id="20" name="19 Imagen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62825"/>
          <a:ext cx="44767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114300</xdr:rowOff>
    </xdr:from>
    <xdr:to>
      <xdr:col>1</xdr:col>
      <xdr:colOff>1228725</xdr:colOff>
      <xdr:row>9</xdr:row>
      <xdr:rowOff>123825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2019300"/>
          <a:ext cx="13525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228600</xdr:colOff>
      <xdr:row>14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3238500"/>
          <a:ext cx="228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</xdr:row>
      <xdr:rowOff>19050</xdr:rowOff>
    </xdr:from>
    <xdr:to>
      <xdr:col>1</xdr:col>
      <xdr:colOff>695325</xdr:colOff>
      <xdr:row>16</xdr:row>
      <xdr:rowOff>38100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3695700"/>
          <a:ext cx="6286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16</xdr:row>
      <xdr:rowOff>19050</xdr:rowOff>
    </xdr:from>
    <xdr:to>
      <xdr:col>1</xdr:col>
      <xdr:colOff>609600</xdr:colOff>
      <xdr:row>17</xdr:row>
      <xdr:rowOff>38100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3914775"/>
          <a:ext cx="4953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171450</xdr:rowOff>
    </xdr:from>
    <xdr:to>
      <xdr:col>1</xdr:col>
      <xdr:colOff>1143000</xdr:colOff>
      <xdr:row>9</xdr:row>
      <xdr:rowOff>180975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2076450"/>
          <a:ext cx="12954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1828800</xdr:colOff>
      <xdr:row>7</xdr:row>
      <xdr:rowOff>180975</xdr:rowOff>
    </xdr:from>
    <xdr:to>
      <xdr:col>1</xdr:col>
      <xdr:colOff>3790950</xdr:colOff>
      <xdr:row>10</xdr:row>
      <xdr:rowOff>9525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81225" y="2085975"/>
          <a:ext cx="1962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28</xdr:row>
      <xdr:rowOff>19050</xdr:rowOff>
    </xdr:from>
    <xdr:to>
      <xdr:col>1</xdr:col>
      <xdr:colOff>390525</xdr:colOff>
      <xdr:row>29</xdr:row>
      <xdr:rowOff>38100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4629150"/>
          <a:ext cx="3048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26</xdr:row>
      <xdr:rowOff>200025</xdr:rowOff>
    </xdr:from>
    <xdr:to>
      <xdr:col>1</xdr:col>
      <xdr:colOff>314325</xdr:colOff>
      <xdr:row>28</xdr:row>
      <xdr:rowOff>19050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4371975"/>
          <a:ext cx="2095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29</xdr:row>
      <xdr:rowOff>38100</xdr:rowOff>
    </xdr:from>
    <xdr:to>
      <xdr:col>1</xdr:col>
      <xdr:colOff>342900</xdr:colOff>
      <xdr:row>30</xdr:row>
      <xdr:rowOff>57150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4867275"/>
          <a:ext cx="228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4457700</xdr:colOff>
      <xdr:row>7</xdr:row>
      <xdr:rowOff>123825</xdr:rowOff>
    </xdr:from>
    <xdr:to>
      <xdr:col>3</xdr:col>
      <xdr:colOff>742950</xdr:colOff>
      <xdr:row>9</xdr:row>
      <xdr:rowOff>85725</xdr:rowOff>
    </xdr:to>
    <xdr:pic>
      <xdr:nvPicPr>
        <xdr:cNvPr id="20" name="19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0125" y="2028825"/>
          <a:ext cx="21812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1666875</xdr:colOff>
      <xdr:row>16</xdr:row>
      <xdr:rowOff>28575</xdr:rowOff>
    </xdr:from>
    <xdr:to>
      <xdr:col>1</xdr:col>
      <xdr:colOff>3848100</xdr:colOff>
      <xdr:row>18</xdr:row>
      <xdr:rowOff>9525</xdr:rowOff>
    </xdr:to>
    <xdr:pic>
      <xdr:nvPicPr>
        <xdr:cNvPr id="22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19300" y="3743325"/>
          <a:ext cx="21812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18</xdr:row>
      <xdr:rowOff>0</xdr:rowOff>
    </xdr:from>
    <xdr:to>
      <xdr:col>1</xdr:col>
      <xdr:colOff>219075</xdr:colOff>
      <xdr:row>19</xdr:row>
      <xdr:rowOff>19050</xdr:rowOff>
    </xdr:to>
    <xdr:pic>
      <xdr:nvPicPr>
        <xdr:cNvPr id="27" name="26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4829175"/>
          <a:ext cx="1143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19</xdr:row>
      <xdr:rowOff>9525</xdr:rowOff>
    </xdr:from>
    <xdr:to>
      <xdr:col>1</xdr:col>
      <xdr:colOff>238125</xdr:colOff>
      <xdr:row>20</xdr:row>
      <xdr:rowOff>28575</xdr:rowOff>
    </xdr:to>
    <xdr:pic>
      <xdr:nvPicPr>
        <xdr:cNvPr id="28" name="27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5057775"/>
          <a:ext cx="1238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21</xdr:row>
      <xdr:rowOff>47625</xdr:rowOff>
    </xdr:from>
    <xdr:to>
      <xdr:col>1</xdr:col>
      <xdr:colOff>495300</xdr:colOff>
      <xdr:row>23</xdr:row>
      <xdr:rowOff>19050</xdr:rowOff>
    </xdr:to>
    <xdr:pic>
      <xdr:nvPicPr>
        <xdr:cNvPr id="29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4867275"/>
          <a:ext cx="371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20</xdr:row>
      <xdr:rowOff>9525</xdr:rowOff>
    </xdr:from>
    <xdr:to>
      <xdr:col>1</xdr:col>
      <xdr:colOff>647700</xdr:colOff>
      <xdr:row>21</xdr:row>
      <xdr:rowOff>19050</xdr:rowOff>
    </xdr:to>
    <xdr:pic>
      <xdr:nvPicPr>
        <xdr:cNvPr id="30" name="2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5276850"/>
          <a:ext cx="5334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381000</xdr:colOff>
      <xdr:row>31</xdr:row>
      <xdr:rowOff>38100</xdr:rowOff>
    </xdr:to>
    <xdr:pic>
      <xdr:nvPicPr>
        <xdr:cNvPr id="33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7239000"/>
          <a:ext cx="3810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24</xdr:row>
      <xdr:rowOff>38100</xdr:rowOff>
    </xdr:from>
    <xdr:to>
      <xdr:col>1</xdr:col>
      <xdr:colOff>2114550</xdr:colOff>
      <xdr:row>26</xdr:row>
      <xdr:rowOff>104775</xdr:rowOff>
    </xdr:to>
    <xdr:pic>
      <xdr:nvPicPr>
        <xdr:cNvPr id="35" name="3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6257925"/>
          <a:ext cx="1962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45</xdr:row>
      <xdr:rowOff>19050</xdr:rowOff>
    </xdr:from>
    <xdr:to>
      <xdr:col>1</xdr:col>
      <xdr:colOff>390525</xdr:colOff>
      <xdr:row>46</xdr:row>
      <xdr:rowOff>38100</xdr:rowOff>
    </xdr:to>
    <xdr:pic>
      <xdr:nvPicPr>
        <xdr:cNvPr id="36" name="3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6677025"/>
          <a:ext cx="3048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43</xdr:row>
      <xdr:rowOff>200025</xdr:rowOff>
    </xdr:from>
    <xdr:to>
      <xdr:col>1</xdr:col>
      <xdr:colOff>314325</xdr:colOff>
      <xdr:row>45</xdr:row>
      <xdr:rowOff>19050</xdr:rowOff>
    </xdr:to>
    <xdr:pic>
      <xdr:nvPicPr>
        <xdr:cNvPr id="37" name="36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6419850"/>
          <a:ext cx="2095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</xdr:row>
      <xdr:rowOff>38100</xdr:rowOff>
    </xdr:from>
    <xdr:to>
      <xdr:col>1</xdr:col>
      <xdr:colOff>342900</xdr:colOff>
      <xdr:row>47</xdr:row>
      <xdr:rowOff>57150</xdr:rowOff>
    </xdr:to>
    <xdr:pic>
      <xdr:nvPicPr>
        <xdr:cNvPr id="38" name="37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6915150"/>
          <a:ext cx="228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1666875</xdr:colOff>
      <xdr:row>33</xdr:row>
      <xdr:rowOff>28575</xdr:rowOff>
    </xdr:from>
    <xdr:to>
      <xdr:col>1</xdr:col>
      <xdr:colOff>3848100</xdr:colOff>
      <xdr:row>35</xdr:row>
      <xdr:rowOff>9525</xdr:rowOff>
    </xdr:to>
    <xdr:pic>
      <xdr:nvPicPr>
        <xdr:cNvPr id="39" name="38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19300" y="4038600"/>
          <a:ext cx="21812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219075</xdr:colOff>
      <xdr:row>36</xdr:row>
      <xdr:rowOff>19050</xdr:rowOff>
    </xdr:to>
    <xdr:pic>
      <xdr:nvPicPr>
        <xdr:cNvPr id="40" name="39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4448175"/>
          <a:ext cx="1143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</xdr:row>
      <xdr:rowOff>9525</xdr:rowOff>
    </xdr:from>
    <xdr:to>
      <xdr:col>1</xdr:col>
      <xdr:colOff>238125</xdr:colOff>
      <xdr:row>37</xdr:row>
      <xdr:rowOff>28575</xdr:rowOff>
    </xdr:to>
    <xdr:pic>
      <xdr:nvPicPr>
        <xdr:cNvPr id="41" name="40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4676775"/>
          <a:ext cx="1238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38</xdr:row>
      <xdr:rowOff>47625</xdr:rowOff>
    </xdr:from>
    <xdr:to>
      <xdr:col>1</xdr:col>
      <xdr:colOff>495300</xdr:colOff>
      <xdr:row>40</xdr:row>
      <xdr:rowOff>19050</xdr:rowOff>
    </xdr:to>
    <xdr:pic>
      <xdr:nvPicPr>
        <xdr:cNvPr id="42" name="41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5162550"/>
          <a:ext cx="371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37</xdr:row>
      <xdr:rowOff>9525</xdr:rowOff>
    </xdr:from>
    <xdr:to>
      <xdr:col>1</xdr:col>
      <xdr:colOff>647700</xdr:colOff>
      <xdr:row>38</xdr:row>
      <xdr:rowOff>19050</xdr:rowOff>
    </xdr:to>
    <xdr:pic>
      <xdr:nvPicPr>
        <xdr:cNvPr id="43" name="42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4895850"/>
          <a:ext cx="5334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381000</xdr:colOff>
      <xdr:row>48</xdr:row>
      <xdr:rowOff>38100</xdr:rowOff>
    </xdr:to>
    <xdr:pic>
      <xdr:nvPicPr>
        <xdr:cNvPr id="44" name="43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7096125"/>
          <a:ext cx="3810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41</xdr:row>
      <xdr:rowOff>38100</xdr:rowOff>
    </xdr:from>
    <xdr:to>
      <xdr:col>1</xdr:col>
      <xdr:colOff>2114550</xdr:colOff>
      <xdr:row>43</xdr:row>
      <xdr:rowOff>104775</xdr:rowOff>
    </xdr:to>
    <xdr:pic>
      <xdr:nvPicPr>
        <xdr:cNvPr id="45" name="4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5819775"/>
          <a:ext cx="19621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381000</xdr:colOff>
      <xdr:row>54</xdr:row>
      <xdr:rowOff>19050</xdr:rowOff>
    </xdr:to>
    <xdr:pic>
      <xdr:nvPicPr>
        <xdr:cNvPr id="47" name="46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11315700"/>
          <a:ext cx="3810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333375</xdr:colOff>
      <xdr:row>56</xdr:row>
      <xdr:rowOff>38100</xdr:rowOff>
    </xdr:to>
    <xdr:pic>
      <xdr:nvPicPr>
        <xdr:cNvPr id="48" name="47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11801475"/>
          <a:ext cx="3333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695325</xdr:colOff>
      <xdr:row>58</xdr:row>
      <xdr:rowOff>38100</xdr:rowOff>
    </xdr:to>
    <xdr:pic>
      <xdr:nvPicPr>
        <xdr:cNvPr id="49" name="48 Imagen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12287250"/>
          <a:ext cx="6953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1295400</xdr:colOff>
      <xdr:row>52</xdr:row>
      <xdr:rowOff>28575</xdr:rowOff>
    </xdr:to>
    <xdr:pic>
      <xdr:nvPicPr>
        <xdr:cNvPr id="52" name="5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11315700"/>
          <a:ext cx="12954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16</xdr:col>
      <xdr:colOff>819150</xdr:colOff>
      <xdr:row>9</xdr:row>
      <xdr:rowOff>219075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1000124</xdr:colOff>
      <xdr:row>10</xdr:row>
      <xdr:rowOff>0</xdr:rowOff>
    </xdr:from>
    <xdr:to>
      <xdr:col>16</xdr:col>
      <xdr:colOff>828674</xdr:colOff>
      <xdr:row>18</xdr:row>
      <xdr:rowOff>209550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704850</xdr:colOff>
      <xdr:row>14</xdr:row>
      <xdr:rowOff>204787</xdr:rowOff>
    </xdr:from>
    <xdr:to>
      <xdr:col>7</xdr:col>
      <xdr:colOff>923925</xdr:colOff>
      <xdr:row>26</xdr:row>
      <xdr:rowOff>90487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666750</xdr:colOff>
      <xdr:row>27</xdr:row>
      <xdr:rowOff>38100</xdr:rowOff>
    </xdr:from>
    <xdr:to>
      <xdr:col>7</xdr:col>
      <xdr:colOff>885825</xdr:colOff>
      <xdr:row>38</xdr:row>
      <xdr:rowOff>161925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676275</xdr:colOff>
      <xdr:row>39</xdr:row>
      <xdr:rowOff>219075</xdr:rowOff>
    </xdr:from>
    <xdr:to>
      <xdr:col>7</xdr:col>
      <xdr:colOff>895350</xdr:colOff>
      <xdr:row>51</xdr:row>
      <xdr:rowOff>104775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66675</xdr:colOff>
      <xdr:row>14</xdr:row>
      <xdr:rowOff>223837</xdr:rowOff>
    </xdr:from>
    <xdr:to>
      <xdr:col>13</xdr:col>
      <xdr:colOff>171450</xdr:colOff>
      <xdr:row>26</xdr:row>
      <xdr:rowOff>109537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13</xdr:col>
      <xdr:colOff>104775</xdr:colOff>
      <xdr:row>38</xdr:row>
      <xdr:rowOff>123825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13</xdr:col>
      <xdr:colOff>104775</xdr:colOff>
      <xdr:row>51</xdr:row>
      <xdr:rowOff>123825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minambiente.gov.co/documentos/res_0240_080304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minambiente.gov.co/documentos/res_0240_080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opLeftCell="A16" workbookViewId="0">
      <selection activeCell="B27" sqref="B27:B28"/>
    </sheetView>
  </sheetViews>
  <sheetFormatPr baseColWidth="10" defaultRowHeight="26.25"/>
  <cols>
    <col min="1" max="1" width="58.75" bestFit="1" customWidth="1"/>
    <col min="2" max="2" width="21.375" style="56" bestFit="1" customWidth="1"/>
  </cols>
  <sheetData>
    <row r="1" spans="1:7" s="25" customFormat="1" ht="31.5">
      <c r="A1" s="23" t="s">
        <v>13</v>
      </c>
      <c r="B1" s="52"/>
      <c r="C1" s="24"/>
      <c r="F1" s="23"/>
      <c r="G1" s="23"/>
    </row>
    <row r="2" spans="1:7" s="5" customFormat="1" ht="25.5">
      <c r="A2" s="4" t="s">
        <v>16</v>
      </c>
      <c r="B2" s="53"/>
      <c r="C2" s="8"/>
      <c r="F2" s="4"/>
      <c r="G2" s="4"/>
    </row>
    <row r="3" spans="1:7">
      <c r="A3" s="3"/>
      <c r="B3" s="54"/>
      <c r="C3" s="6"/>
      <c r="F3" s="3"/>
      <c r="G3" s="3"/>
    </row>
    <row r="4" spans="1:7" s="25" customFormat="1" ht="31.5">
      <c r="A4" s="23" t="s">
        <v>17</v>
      </c>
      <c r="B4" s="52"/>
      <c r="C4" s="24"/>
      <c r="F4" s="23"/>
      <c r="G4" s="23"/>
    </row>
    <row r="5" spans="1:7">
      <c r="A5" s="3" t="s">
        <v>14</v>
      </c>
      <c r="B5" s="54"/>
      <c r="C5" s="6"/>
      <c r="F5" s="3"/>
      <c r="G5" s="3"/>
    </row>
    <row r="6" spans="1:7">
      <c r="A6" s="3" t="s">
        <v>15</v>
      </c>
      <c r="B6" s="54"/>
      <c r="C6" s="6"/>
      <c r="F6" s="3"/>
      <c r="G6" s="3"/>
    </row>
    <row r="8" spans="1:7">
      <c r="A8" t="s">
        <v>20</v>
      </c>
      <c r="B8" s="55">
        <v>2012</v>
      </c>
    </row>
    <row r="9" spans="1:7">
      <c r="A9" t="s">
        <v>18</v>
      </c>
      <c r="B9" s="56" t="s">
        <v>102</v>
      </c>
    </row>
    <row r="10" spans="1:7">
      <c r="A10" t="s">
        <v>19</v>
      </c>
      <c r="B10" s="56">
        <v>100</v>
      </c>
    </row>
    <row r="11" spans="1:7">
      <c r="A11" t="s">
        <v>21</v>
      </c>
      <c r="B11" s="56">
        <v>489</v>
      </c>
    </row>
    <row r="12" spans="1:7">
      <c r="A12" t="s">
        <v>22</v>
      </c>
      <c r="B12" s="56">
        <v>455</v>
      </c>
    </row>
    <row r="13" spans="1:7">
      <c r="A13" t="s">
        <v>23</v>
      </c>
      <c r="B13" s="56">
        <v>1</v>
      </c>
    </row>
    <row r="14" spans="1:7">
      <c r="A14" t="s">
        <v>24</v>
      </c>
      <c r="B14" s="56">
        <v>1</v>
      </c>
    </row>
    <row r="16" spans="1:7" s="25" customFormat="1" ht="31.5">
      <c r="A16" s="23" t="s">
        <v>25</v>
      </c>
      <c r="B16" s="52"/>
      <c r="C16" s="24"/>
      <c r="F16" s="23"/>
      <c r="G16" s="23"/>
    </row>
    <row r="17" spans="1:7">
      <c r="A17" s="3" t="s">
        <v>26</v>
      </c>
      <c r="B17" s="54"/>
      <c r="C17" s="6"/>
      <c r="F17" s="3"/>
      <c r="G17" s="3"/>
    </row>
    <row r="18" spans="1:7">
      <c r="A18" s="3" t="s">
        <v>15</v>
      </c>
      <c r="B18" s="54"/>
      <c r="C18" s="6"/>
      <c r="F18" s="3"/>
      <c r="G18" s="3"/>
    </row>
    <row r="20" spans="1:7">
      <c r="A20" t="s">
        <v>20</v>
      </c>
      <c r="B20" s="56">
        <v>2012</v>
      </c>
    </row>
    <row r="21" spans="1:7">
      <c r="A21" t="s">
        <v>18</v>
      </c>
      <c r="B21" s="56" t="s">
        <v>102</v>
      </c>
    </row>
    <row r="22" spans="1:7">
      <c r="A22" t="s">
        <v>19</v>
      </c>
      <c r="B22" s="56">
        <v>100</v>
      </c>
    </row>
    <row r="23" spans="1:7">
      <c r="A23" s="3" t="s">
        <v>36</v>
      </c>
      <c r="B23" s="56">
        <v>67080</v>
      </c>
    </row>
    <row r="24" spans="1:7">
      <c r="A24" s="9" t="s">
        <v>37</v>
      </c>
      <c r="B24" s="56">
        <v>58925</v>
      </c>
    </row>
    <row r="25" spans="1:7">
      <c r="A25" t="s">
        <v>38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7"/>
  <sheetViews>
    <sheetView tabSelected="1" topLeftCell="B1" workbookViewId="0">
      <selection activeCell="G14" sqref="G14"/>
    </sheetView>
  </sheetViews>
  <sheetFormatPr baseColWidth="10" defaultRowHeight="18.75"/>
  <cols>
    <col min="1" max="1" width="24.125" style="40" bestFit="1" customWidth="1"/>
    <col min="2" max="2" width="11" style="42"/>
    <col min="3" max="3" width="23.75" style="42" bestFit="1" customWidth="1"/>
    <col min="4" max="5" width="11" style="42"/>
    <col min="6" max="6" width="11.875" style="42" customWidth="1"/>
    <col min="7" max="7" width="12.25" style="42" customWidth="1"/>
    <col min="8" max="8" width="12.375" style="42" customWidth="1"/>
    <col min="9" max="9" width="11.125" style="42" customWidth="1"/>
    <col min="10" max="10" width="12.375" style="42" customWidth="1"/>
    <col min="11" max="11" width="13.125" style="42" customWidth="1"/>
    <col min="12" max="13" width="11" style="40"/>
  </cols>
  <sheetData>
    <row r="1" spans="1:11" s="44" customFormat="1" ht="26.25">
      <c r="A1" s="73" t="s">
        <v>86</v>
      </c>
      <c r="B1" s="73"/>
      <c r="C1" s="58"/>
      <c r="D1" s="47"/>
      <c r="E1" s="47"/>
      <c r="F1" s="47"/>
      <c r="G1" s="47"/>
      <c r="H1" s="47"/>
      <c r="I1" s="47"/>
      <c r="J1" s="47"/>
      <c r="K1" s="47"/>
    </row>
    <row r="2" spans="1:11">
      <c r="E2" s="74" t="s">
        <v>99</v>
      </c>
      <c r="F2" s="74"/>
      <c r="G2" s="74"/>
      <c r="H2" s="74"/>
      <c r="I2" s="74"/>
      <c r="J2" s="74"/>
      <c r="K2" s="74"/>
    </row>
    <row r="3" spans="1:11">
      <c r="A3" s="72" t="s">
        <v>87</v>
      </c>
      <c r="B3" s="72"/>
      <c r="C3" s="57"/>
      <c r="D3" s="61" t="s">
        <v>101</v>
      </c>
      <c r="E3" s="48" t="s">
        <v>100</v>
      </c>
      <c r="F3" s="48" t="s">
        <v>92</v>
      </c>
      <c r="G3" s="48" t="s">
        <v>93</v>
      </c>
      <c r="H3" s="48" t="s">
        <v>94</v>
      </c>
      <c r="I3" s="48" t="s">
        <v>95</v>
      </c>
      <c r="J3" s="48" t="s">
        <v>96</v>
      </c>
      <c r="K3" s="48" t="s">
        <v>97</v>
      </c>
    </row>
    <row r="4" spans="1:11">
      <c r="A4" s="45" t="s">
        <v>88</v>
      </c>
      <c r="B4" s="46">
        <f>+'CMA ac y al'!C24</f>
        <v>3206.4911042944782</v>
      </c>
      <c r="C4" s="45" t="s">
        <v>88</v>
      </c>
      <c r="D4" s="42">
        <v>8056</v>
      </c>
      <c r="E4" s="42">
        <f>+B4</f>
        <v>3206.4911042944782</v>
      </c>
      <c r="F4" s="42">
        <f>+E4*50%</f>
        <v>1603.2455521472391</v>
      </c>
      <c r="G4" s="42">
        <f>+E4*60%</f>
        <v>1923.8946625766869</v>
      </c>
      <c r="H4" s="42">
        <f>+E4*85%</f>
        <v>2725.5174386503063</v>
      </c>
      <c r="I4" s="42">
        <f>+E4</f>
        <v>3206.4911042944782</v>
      </c>
      <c r="J4" s="42">
        <f>+E4+(E4*50%)</f>
        <v>4809.7366564417171</v>
      </c>
      <c r="K4" s="42">
        <f>+E4+(E4*30%)</f>
        <v>4168.4384355828215</v>
      </c>
    </row>
    <row r="5" spans="1:11">
      <c r="A5" s="45" t="s">
        <v>89</v>
      </c>
      <c r="B5" s="46">
        <f>+B6+B7+B8</f>
        <v>1053.1543998637021</v>
      </c>
      <c r="C5" s="45" t="s">
        <v>89</v>
      </c>
      <c r="D5" s="42">
        <v>250</v>
      </c>
      <c r="E5" s="42">
        <f t="shared" ref="E5" si="0">+B5</f>
        <v>1053.1543998637021</v>
      </c>
      <c r="F5" s="42">
        <f>+E5*50%</f>
        <v>526.57719993185106</v>
      </c>
      <c r="G5" s="42">
        <f t="shared" ref="G5:G14" si="1">+E5*60%</f>
        <v>631.89263991822122</v>
      </c>
      <c r="H5" s="42">
        <f t="shared" ref="H5:H14" si="2">+E5*85%</f>
        <v>895.18123988414675</v>
      </c>
      <c r="I5" s="42">
        <f t="shared" ref="I5:I14" si="3">+E5</f>
        <v>1053.1543998637021</v>
      </c>
      <c r="J5" s="42">
        <f t="shared" ref="J5:J14" si="4">+E5+(E5*50%)</f>
        <v>1579.7315997955532</v>
      </c>
      <c r="K5" s="42">
        <f t="shared" ref="K5:K14" si="5">+E5+(E5*30%)</f>
        <v>1369.1007198228126</v>
      </c>
    </row>
    <row r="6" spans="1:11">
      <c r="A6" s="40" t="s">
        <v>25</v>
      </c>
      <c r="B6" s="60">
        <f>+'CMO ac y al'!C27</f>
        <v>913.72693585484285</v>
      </c>
      <c r="C6" s="60"/>
    </row>
    <row r="7" spans="1:11">
      <c r="A7" s="40" t="s">
        <v>67</v>
      </c>
      <c r="B7" s="60">
        <f>+'CMI ac y al'!C26</f>
        <v>138.42746400885935</v>
      </c>
      <c r="C7" s="60"/>
    </row>
    <row r="8" spans="1:11">
      <c r="A8" s="40" t="s">
        <v>90</v>
      </c>
      <c r="B8" s="60">
        <f>+'CMT Ac'!C17</f>
        <v>1</v>
      </c>
      <c r="C8" s="60"/>
    </row>
    <row r="10" spans="1:11">
      <c r="A10" s="49" t="s">
        <v>91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50"/>
      <c r="B11" s="50"/>
      <c r="C11" s="57"/>
      <c r="D11" s="50"/>
      <c r="E11" s="72" t="s">
        <v>98</v>
      </c>
      <c r="F11" s="72"/>
      <c r="G11" s="72"/>
      <c r="H11" s="72"/>
      <c r="I11" s="72"/>
      <c r="J11" s="72"/>
      <c r="K11" s="72"/>
    </row>
    <row r="12" spans="1:11">
      <c r="A12" s="72" t="s">
        <v>91</v>
      </c>
      <c r="B12" s="72"/>
      <c r="C12" s="57"/>
      <c r="D12" s="61" t="s">
        <v>101</v>
      </c>
      <c r="E12" s="59" t="s">
        <v>100</v>
      </c>
      <c r="F12" s="48" t="s">
        <v>92</v>
      </c>
      <c r="G12" s="48" t="s">
        <v>93</v>
      </c>
      <c r="H12" s="48" t="s">
        <v>94</v>
      </c>
      <c r="I12" s="48" t="s">
        <v>95</v>
      </c>
      <c r="J12" s="48" t="s">
        <v>96</v>
      </c>
      <c r="K12" s="48" t="s">
        <v>97</v>
      </c>
    </row>
    <row r="13" spans="1:11">
      <c r="A13" s="45" t="s">
        <v>88</v>
      </c>
      <c r="B13" s="46">
        <f>+'CMA ac y al'!C44</f>
        <v>2297.3980219780219</v>
      </c>
      <c r="C13" s="45" t="s">
        <v>88</v>
      </c>
      <c r="D13" s="42">
        <v>4028</v>
      </c>
      <c r="E13" s="42">
        <f>+B13</f>
        <v>2297.3980219780219</v>
      </c>
      <c r="F13" s="42">
        <f>+E13*50%</f>
        <v>1148.699010989011</v>
      </c>
      <c r="G13" s="42">
        <f>+E13*60%</f>
        <v>1378.4388131868131</v>
      </c>
      <c r="H13" s="42">
        <f t="shared" si="2"/>
        <v>1952.7883186813185</v>
      </c>
      <c r="I13" s="42">
        <f t="shared" si="3"/>
        <v>2297.3980219780219</v>
      </c>
      <c r="J13" s="42">
        <f t="shared" si="4"/>
        <v>3446.0970329670326</v>
      </c>
      <c r="K13" s="42">
        <f t="shared" si="5"/>
        <v>2986.6174285714287</v>
      </c>
    </row>
    <row r="14" spans="1:11">
      <c r="A14" s="45" t="s">
        <v>89</v>
      </c>
      <c r="B14" s="46">
        <f>+B15+B16+B17</f>
        <v>624.22801659907361</v>
      </c>
      <c r="C14" s="45" t="s">
        <v>89</v>
      </c>
      <c r="D14" s="42">
        <v>177</v>
      </c>
      <c r="E14" s="42">
        <f>+B14</f>
        <v>624.22801659907361</v>
      </c>
      <c r="F14" s="42">
        <f>+E14*50%</f>
        <v>312.11400829953681</v>
      </c>
      <c r="G14" s="42">
        <f t="shared" si="1"/>
        <v>374.53680995944416</v>
      </c>
      <c r="H14" s="42">
        <f t="shared" si="2"/>
        <v>530.59381410921253</v>
      </c>
      <c r="I14" s="42">
        <f t="shared" si="3"/>
        <v>624.22801659907361</v>
      </c>
      <c r="J14" s="42">
        <f t="shared" si="4"/>
        <v>936.34202489861036</v>
      </c>
      <c r="K14" s="42">
        <f t="shared" si="5"/>
        <v>811.49642157879566</v>
      </c>
    </row>
    <row r="15" spans="1:11">
      <c r="A15" s="40" t="s">
        <v>25</v>
      </c>
      <c r="B15" s="60">
        <f>+'CMO ac y al'!C59</f>
        <v>525.70800193054492</v>
      </c>
      <c r="C15" s="60"/>
    </row>
    <row r="16" spans="1:11">
      <c r="A16" s="40" t="s">
        <v>67</v>
      </c>
      <c r="B16" s="60">
        <f>+'CMI ac y al'!C55</f>
        <v>63.237503001154835</v>
      </c>
      <c r="C16" s="60"/>
    </row>
    <row r="17" spans="1:3">
      <c r="A17" s="40" t="s">
        <v>90</v>
      </c>
      <c r="B17" s="60">
        <f>+'CMT Al'!C58</f>
        <v>35.282511667373782</v>
      </c>
      <c r="C17" s="60"/>
    </row>
  </sheetData>
  <mergeCells count="5">
    <mergeCell ref="A3:B3"/>
    <mergeCell ref="A1:B1"/>
    <mergeCell ref="A12:B12"/>
    <mergeCell ref="E11:K11"/>
    <mergeCell ref="E2:K2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H20" sqref="H20"/>
    </sheetView>
  </sheetViews>
  <sheetFormatPr baseColWidth="10" defaultRowHeight="18.75"/>
  <cols>
    <col min="1" max="1" width="15.125" bestFit="1" customWidth="1"/>
    <col min="2" max="3" width="11" style="42"/>
    <col min="4" max="4" width="29.125" bestFit="1" customWidth="1"/>
    <col min="5" max="5" width="11" style="42"/>
  </cols>
  <sheetData>
    <row r="1" spans="1:5" ht="29.25">
      <c r="A1" s="23"/>
      <c r="B1" s="21"/>
    </row>
    <row r="2" spans="1:5">
      <c r="A2" s="4"/>
      <c r="B2" s="18"/>
    </row>
    <row r="3" spans="1:5" ht="19.5" thickBot="1">
      <c r="A3" s="3"/>
      <c r="B3" s="65"/>
    </row>
    <row r="4" spans="1:5" ht="30" thickBot="1">
      <c r="A4" s="23"/>
      <c r="B4" s="63" t="s">
        <v>103</v>
      </c>
      <c r="C4" s="63" t="s">
        <v>104</v>
      </c>
      <c r="D4" s="66" t="s">
        <v>103</v>
      </c>
    </row>
    <row r="5" spans="1:5" ht="19.5" thickBot="1">
      <c r="A5" s="3" t="s">
        <v>105</v>
      </c>
      <c r="B5" s="64">
        <v>483</v>
      </c>
      <c r="C5" s="64">
        <v>452</v>
      </c>
      <c r="D5" s="62" t="s">
        <v>119</v>
      </c>
      <c r="E5" s="42">
        <v>5500</v>
      </c>
    </row>
    <row r="6" spans="1:5" ht="19.5" thickBot="1">
      <c r="A6" s="3" t="s">
        <v>106</v>
      </c>
      <c r="B6" s="64">
        <v>483</v>
      </c>
      <c r="C6" s="64">
        <v>452</v>
      </c>
      <c r="D6" s="62" t="s">
        <v>120</v>
      </c>
      <c r="E6" s="42">
        <v>5100</v>
      </c>
    </row>
    <row r="7" spans="1:5" ht="19.5" thickBot="1">
      <c r="A7" s="3" t="s">
        <v>107</v>
      </c>
      <c r="B7" s="64">
        <v>483</v>
      </c>
      <c r="C7" s="64">
        <v>452</v>
      </c>
      <c r="D7" s="62" t="s">
        <v>121</v>
      </c>
      <c r="E7" s="42">
        <v>4800</v>
      </c>
    </row>
    <row r="8" spans="1:5" ht="19.5" thickBot="1">
      <c r="A8" s="3" t="s">
        <v>108</v>
      </c>
      <c r="B8" s="64">
        <v>486</v>
      </c>
      <c r="C8" s="64">
        <v>452</v>
      </c>
      <c r="D8" s="62" t="s">
        <v>122</v>
      </c>
      <c r="E8" s="42">
        <v>4300</v>
      </c>
    </row>
    <row r="9" spans="1:5" ht="19.5" thickBot="1">
      <c r="A9" s="3" t="s">
        <v>109</v>
      </c>
      <c r="B9" s="64">
        <v>486</v>
      </c>
      <c r="C9" s="64">
        <v>452</v>
      </c>
      <c r="D9" s="62" t="s">
        <v>123</v>
      </c>
      <c r="E9" s="42">
        <v>4500</v>
      </c>
    </row>
    <row r="10" spans="1:5" ht="19.5" thickBot="1">
      <c r="A10" s="3" t="s">
        <v>110</v>
      </c>
      <c r="B10" s="64">
        <v>488</v>
      </c>
      <c r="C10" s="64">
        <v>452</v>
      </c>
      <c r="D10" s="62" t="s">
        <v>124</v>
      </c>
      <c r="E10" s="42">
        <v>4650</v>
      </c>
    </row>
    <row r="11" spans="1:5" ht="19.5" thickBot="1">
      <c r="A11" s="3" t="s">
        <v>111</v>
      </c>
      <c r="B11" s="64">
        <v>488</v>
      </c>
      <c r="C11" s="64">
        <v>452</v>
      </c>
      <c r="D11" s="62" t="s">
        <v>125</v>
      </c>
      <c r="E11" s="42">
        <v>5000</v>
      </c>
    </row>
    <row r="12" spans="1:5" ht="19.5" thickBot="1">
      <c r="A12" s="3" t="s">
        <v>112</v>
      </c>
      <c r="B12" s="64">
        <v>488</v>
      </c>
      <c r="C12" s="64">
        <v>452</v>
      </c>
      <c r="D12" s="62" t="s">
        <v>126</v>
      </c>
      <c r="E12" s="42">
        <v>5230</v>
      </c>
    </row>
    <row r="13" spans="1:5" ht="19.5" thickBot="1">
      <c r="A13" s="3" t="s">
        <v>113</v>
      </c>
      <c r="B13" s="64">
        <v>493</v>
      </c>
      <c r="C13" s="64">
        <v>456</v>
      </c>
      <c r="D13" s="62" t="s">
        <v>127</v>
      </c>
      <c r="E13" s="42">
        <v>4950</v>
      </c>
    </row>
    <row r="14" spans="1:5" ht="19.5" thickBot="1">
      <c r="A14" s="3" t="s">
        <v>114</v>
      </c>
      <c r="B14" s="64">
        <v>493</v>
      </c>
      <c r="C14" s="64">
        <v>456</v>
      </c>
      <c r="D14" s="62" t="s">
        <v>128</v>
      </c>
      <c r="E14" s="42">
        <v>4385</v>
      </c>
    </row>
    <row r="15" spans="1:5" ht="19.5" thickBot="1">
      <c r="A15" s="3" t="s">
        <v>115</v>
      </c>
      <c r="B15" s="64">
        <v>493</v>
      </c>
      <c r="C15" s="64">
        <v>456</v>
      </c>
      <c r="D15" s="62" t="s">
        <v>129</v>
      </c>
      <c r="E15" s="42">
        <v>4960</v>
      </c>
    </row>
    <row r="16" spans="1:5" ht="19.5" thickBot="1">
      <c r="A16" s="3" t="s">
        <v>116</v>
      </c>
      <c r="B16" s="64">
        <v>500</v>
      </c>
      <c r="C16" s="64">
        <v>480</v>
      </c>
      <c r="D16" s="62" t="s">
        <v>130</v>
      </c>
      <c r="E16" s="42">
        <v>5550</v>
      </c>
    </row>
    <row r="17" spans="1:5">
      <c r="A17" s="3" t="s">
        <v>117</v>
      </c>
      <c r="B17" s="42">
        <f>SUM(B5:B16)</f>
        <v>5864</v>
      </c>
      <c r="C17" s="42">
        <f>SUM(C5:C16)</f>
        <v>5464</v>
      </c>
      <c r="E17" s="42">
        <f>SUM(E5:E16)</f>
        <v>58925</v>
      </c>
    </row>
    <row r="18" spans="1:5">
      <c r="A18" s="3" t="s">
        <v>118</v>
      </c>
      <c r="B18" s="42">
        <f>+B17/12</f>
        <v>488.66666666666669</v>
      </c>
      <c r="C18" s="42">
        <f>+C17/12</f>
        <v>455.33333333333331</v>
      </c>
      <c r="E18" s="42">
        <v>5590</v>
      </c>
    </row>
    <row r="19" spans="1:5">
      <c r="E19" s="42">
        <f>+E18*12</f>
        <v>67080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F10" sqref="F10"/>
    </sheetView>
  </sheetViews>
  <sheetFormatPr baseColWidth="10" defaultRowHeight="17.25"/>
  <cols>
    <col min="1" max="1" width="5.25" style="3" customWidth="1"/>
    <col min="2" max="2" width="54" style="3" bestFit="1" customWidth="1"/>
    <col min="3" max="3" width="14.125" style="6" bestFit="1" customWidth="1"/>
  </cols>
  <sheetData>
    <row r="1" spans="1:3" s="1" customFormat="1" ht="32.25">
      <c r="A1" s="2" t="s">
        <v>13</v>
      </c>
      <c r="B1" s="2"/>
      <c r="C1" s="7"/>
    </row>
    <row r="2" spans="1:3" s="5" customFormat="1">
      <c r="A2" s="4" t="s">
        <v>16</v>
      </c>
      <c r="B2" s="4"/>
      <c r="C2" s="8"/>
    </row>
    <row r="3" spans="1:3">
      <c r="A3" s="3" t="s">
        <v>14</v>
      </c>
    </row>
    <row r="4" spans="1:3">
      <c r="A4" s="3" t="s">
        <v>15</v>
      </c>
    </row>
    <row r="6" spans="1:3" s="25" customFormat="1" ht="31.5">
      <c r="A6" s="23" t="s">
        <v>17</v>
      </c>
      <c r="B6" s="23"/>
      <c r="C6" s="24"/>
    </row>
    <row r="8" spans="1:3">
      <c r="A8" s="3">
        <v>1</v>
      </c>
      <c r="B8" s="3" t="s">
        <v>0</v>
      </c>
      <c r="C8" s="6">
        <v>15197483</v>
      </c>
    </row>
    <row r="9" spans="1:3">
      <c r="A9" s="3">
        <v>2</v>
      </c>
      <c r="B9" s="3" t="s">
        <v>1</v>
      </c>
    </row>
    <row r="10" spans="1:3">
      <c r="A10" s="3">
        <v>3</v>
      </c>
      <c r="B10" s="3" t="s">
        <v>2</v>
      </c>
    </row>
    <row r="11" spans="1:3">
      <c r="A11" s="3">
        <v>4</v>
      </c>
      <c r="B11" s="3" t="s">
        <v>3</v>
      </c>
    </row>
    <row r="12" spans="1:3">
      <c r="A12" s="3">
        <v>5</v>
      </c>
      <c r="B12" s="3" t="s">
        <v>4</v>
      </c>
    </row>
    <row r="13" spans="1:3">
      <c r="A13" s="3">
        <v>6</v>
      </c>
      <c r="B13" s="3" t="s">
        <v>5</v>
      </c>
    </row>
    <row r="14" spans="1:3">
      <c r="A14" s="3">
        <v>7</v>
      </c>
      <c r="B14" s="3" t="s">
        <v>6</v>
      </c>
    </row>
    <row r="15" spans="1:3">
      <c r="A15" s="3">
        <v>8</v>
      </c>
      <c r="B15" s="3" t="s">
        <v>8</v>
      </c>
    </row>
    <row r="16" spans="1:3">
      <c r="A16" s="3">
        <v>9</v>
      </c>
      <c r="B16" s="3" t="s">
        <v>9</v>
      </c>
    </row>
    <row r="17" spans="1:3">
      <c r="A17" s="3">
        <v>10</v>
      </c>
      <c r="B17" s="3" t="s">
        <v>10</v>
      </c>
    </row>
    <row r="18" spans="1:3">
      <c r="A18" s="3">
        <v>11</v>
      </c>
      <c r="B18" s="3" t="s">
        <v>11</v>
      </c>
      <c r="C18" s="6">
        <v>16162000</v>
      </c>
    </row>
    <row r="19" spans="1:3" s="19" customFormat="1" ht="18.75">
      <c r="A19" s="17"/>
      <c r="B19" s="17" t="s">
        <v>40</v>
      </c>
      <c r="C19" s="18">
        <f>SUM(C8:C18)</f>
        <v>31359483</v>
      </c>
    </row>
    <row r="31" spans="1:3" s="3" customFormat="1">
      <c r="C31" s="6"/>
    </row>
    <row r="32" spans="1:3" s="3" customFormat="1">
      <c r="C32" s="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F16" sqref="F16"/>
    </sheetView>
  </sheetViews>
  <sheetFormatPr baseColWidth="10" defaultRowHeight="17.25"/>
  <cols>
    <col min="1" max="1" width="5.25" style="3" customWidth="1"/>
    <col min="2" max="2" width="48.875" style="3" customWidth="1"/>
    <col min="3" max="3" width="13.375" style="6" bestFit="1" customWidth="1"/>
    <col min="4" max="4" width="11.25" style="6"/>
    <col min="5" max="6" width="11.25" style="3"/>
  </cols>
  <sheetData>
    <row r="1" spans="1:6" s="1" customFormat="1" ht="32.25">
      <c r="A1" s="2" t="s">
        <v>13</v>
      </c>
      <c r="B1" s="2"/>
      <c r="C1" s="7"/>
      <c r="D1" s="7"/>
      <c r="E1" s="2"/>
      <c r="F1" s="2"/>
    </row>
    <row r="2" spans="1:6" s="5" customFormat="1">
      <c r="A2" s="4" t="s">
        <v>16</v>
      </c>
      <c r="B2" s="4"/>
      <c r="C2" s="8"/>
      <c r="D2" s="8"/>
      <c r="E2" s="4"/>
      <c r="F2" s="4"/>
    </row>
    <row r="3" spans="1:6">
      <c r="A3" s="3" t="s">
        <v>14</v>
      </c>
    </row>
    <row r="4" spans="1:6">
      <c r="A4" s="3" t="s">
        <v>15</v>
      </c>
    </row>
    <row r="6" spans="1:6" s="25" customFormat="1" ht="31.5">
      <c r="A6" s="23" t="s">
        <v>44</v>
      </c>
      <c r="B6" s="23"/>
      <c r="C6" s="24"/>
      <c r="D6" s="24"/>
      <c r="E6" s="23"/>
      <c r="F6" s="23"/>
    </row>
    <row r="7" spans="1:6" s="25" customFormat="1" ht="31.5">
      <c r="A7" s="16"/>
      <c r="B7" s="23"/>
      <c r="C7" s="24"/>
      <c r="D7" s="24"/>
      <c r="E7" s="23"/>
      <c r="F7" s="23"/>
    </row>
    <row r="8" spans="1:6" s="25" customFormat="1" ht="31.5">
      <c r="A8" s="23"/>
      <c r="B8" s="23"/>
      <c r="C8" s="24"/>
      <c r="D8" s="24"/>
      <c r="E8" s="23"/>
      <c r="F8" s="23"/>
    </row>
    <row r="9" spans="1:6">
      <c r="A9" s="3" t="s">
        <v>7</v>
      </c>
    </row>
    <row r="11" spans="1:6">
      <c r="A11" s="3">
        <v>1</v>
      </c>
      <c r="B11" s="3" t="s">
        <v>0</v>
      </c>
      <c r="C11" s="6">
        <f>+CMA!C8*60%</f>
        <v>9118489.7999999989</v>
      </c>
    </row>
    <row r="12" spans="1:6">
      <c r="A12" s="3">
        <v>2</v>
      </c>
      <c r="B12" s="3" t="s">
        <v>1</v>
      </c>
      <c r="C12" s="6">
        <f>+CMA!C9*60%</f>
        <v>0</v>
      </c>
    </row>
    <row r="13" spans="1:6">
      <c r="A13" s="3">
        <v>3</v>
      </c>
      <c r="B13" s="3" t="s">
        <v>2</v>
      </c>
      <c r="C13" s="6">
        <f>+CMA!C10*60%</f>
        <v>0</v>
      </c>
    </row>
    <row r="14" spans="1:6">
      <c r="A14" s="3">
        <v>4</v>
      </c>
      <c r="B14" s="3" t="s">
        <v>3</v>
      </c>
      <c r="C14" s="6">
        <f>+CMA!C11*60%</f>
        <v>0</v>
      </c>
    </row>
    <row r="15" spans="1:6">
      <c r="A15" s="3">
        <v>5</v>
      </c>
      <c r="B15" s="3" t="s">
        <v>4</v>
      </c>
      <c r="C15" s="6">
        <f>+CMA!C12*60%</f>
        <v>0</v>
      </c>
    </row>
    <row r="16" spans="1:6">
      <c r="A16" s="3">
        <v>6</v>
      </c>
      <c r="B16" s="3" t="s">
        <v>5</v>
      </c>
      <c r="C16" s="6">
        <f>+CMA!C13*60%</f>
        <v>0</v>
      </c>
    </row>
    <row r="17" spans="1:6">
      <c r="A17" s="3">
        <v>7</v>
      </c>
      <c r="B17" s="3" t="s">
        <v>6</v>
      </c>
      <c r="C17" s="6">
        <f>+CMA!C14*60%</f>
        <v>0</v>
      </c>
    </row>
    <row r="18" spans="1:6">
      <c r="A18" s="3">
        <v>8</v>
      </c>
      <c r="B18" s="3" t="s">
        <v>8</v>
      </c>
      <c r="C18" s="6">
        <f>+CMA!C15*60%</f>
        <v>0</v>
      </c>
    </row>
    <row r="19" spans="1:6">
      <c r="A19" s="3">
        <v>9</v>
      </c>
      <c r="B19" s="3" t="s">
        <v>9</v>
      </c>
      <c r="C19" s="6">
        <f>+CMA!C16*60%</f>
        <v>0</v>
      </c>
    </row>
    <row r="20" spans="1:6">
      <c r="A20" s="3">
        <v>10</v>
      </c>
      <c r="B20" s="3" t="s">
        <v>10</v>
      </c>
      <c r="C20" s="6">
        <f>+CMA!C17*60%</f>
        <v>0</v>
      </c>
    </row>
    <row r="21" spans="1:6">
      <c r="A21" s="3">
        <v>11</v>
      </c>
      <c r="B21" s="3" t="s">
        <v>11</v>
      </c>
      <c r="C21" s="6">
        <f>+CMA!C18*60%</f>
        <v>9697200</v>
      </c>
    </row>
    <row r="22" spans="1:6" s="22" customFormat="1" ht="18.75">
      <c r="A22" s="20"/>
      <c r="B22" s="20" t="s">
        <v>41</v>
      </c>
      <c r="C22" s="21">
        <f>SUM(C11:C21)</f>
        <v>18815689.799999997</v>
      </c>
      <c r="D22" s="21"/>
      <c r="E22" s="20"/>
      <c r="F22" s="20"/>
    </row>
    <row r="23" spans="1:6" ht="18.75">
      <c r="B23" s="20" t="s">
        <v>42</v>
      </c>
      <c r="C23" s="21">
        <f>+C22/DATOS!B11</f>
        <v>38477.893251533736</v>
      </c>
    </row>
    <row r="24" spans="1:6" s="43" customFormat="1" ht="21">
      <c r="A24" s="37"/>
      <c r="B24" s="11" t="s">
        <v>43</v>
      </c>
      <c r="C24" s="13">
        <f>+C23/12</f>
        <v>3206.4911042944782</v>
      </c>
      <c r="D24" s="51"/>
      <c r="E24" s="37"/>
      <c r="F24" s="37"/>
    </row>
    <row r="25" spans="1:6" ht="18.75">
      <c r="B25" s="20"/>
      <c r="C25" s="21"/>
    </row>
    <row r="26" spans="1:6" s="25" customFormat="1" ht="31.5">
      <c r="A26" s="23" t="s">
        <v>45</v>
      </c>
      <c r="B26" s="23"/>
      <c r="C26" s="24"/>
      <c r="D26" s="24"/>
      <c r="E26" s="23"/>
      <c r="F26" s="23"/>
    </row>
    <row r="27" spans="1:6" s="25" customFormat="1" ht="31.5">
      <c r="A27"/>
      <c r="B27" s="23"/>
      <c r="C27" s="24"/>
      <c r="D27" s="24"/>
      <c r="E27" s="23"/>
      <c r="F27" s="23"/>
    </row>
    <row r="28" spans="1:6" s="25" customFormat="1" ht="31.5">
      <c r="A28" s="23"/>
      <c r="B28" s="23"/>
      <c r="C28" s="24"/>
      <c r="D28" s="24"/>
      <c r="E28" s="23"/>
      <c r="F28" s="23"/>
    </row>
    <row r="29" spans="1:6">
      <c r="A29" s="3" t="s">
        <v>12</v>
      </c>
    </row>
    <row r="31" spans="1:6">
      <c r="A31" s="3">
        <v>1</v>
      </c>
      <c r="B31" s="3" t="s">
        <v>0</v>
      </c>
      <c r="C31" s="6">
        <f>+CMA!C8*40%</f>
        <v>6078993.2000000002</v>
      </c>
    </row>
    <row r="32" spans="1:6">
      <c r="A32" s="3">
        <v>2</v>
      </c>
      <c r="B32" s="3" t="s">
        <v>1</v>
      </c>
      <c r="C32" s="6">
        <f>+CMA!C9*40%</f>
        <v>0</v>
      </c>
    </row>
    <row r="33" spans="1:6">
      <c r="A33" s="3">
        <v>3</v>
      </c>
      <c r="B33" s="3" t="s">
        <v>2</v>
      </c>
      <c r="C33" s="6">
        <f>+CMA!C10*40%</f>
        <v>0</v>
      </c>
    </row>
    <row r="34" spans="1:6">
      <c r="A34" s="3">
        <v>4</v>
      </c>
      <c r="B34" s="3" t="s">
        <v>3</v>
      </c>
      <c r="C34" s="6">
        <f>+CMA!C11*40%</f>
        <v>0</v>
      </c>
    </row>
    <row r="35" spans="1:6">
      <c r="A35" s="3">
        <v>5</v>
      </c>
      <c r="B35" s="3" t="s">
        <v>4</v>
      </c>
      <c r="C35" s="6">
        <f>+CMA!C12*40%</f>
        <v>0</v>
      </c>
    </row>
    <row r="36" spans="1:6">
      <c r="A36" s="3">
        <v>6</v>
      </c>
      <c r="B36" s="3" t="s">
        <v>5</v>
      </c>
      <c r="C36" s="6">
        <f>+CMA!C13*40%</f>
        <v>0</v>
      </c>
    </row>
    <row r="37" spans="1:6">
      <c r="A37" s="3">
        <v>7</v>
      </c>
      <c r="B37" s="3" t="s">
        <v>6</v>
      </c>
      <c r="C37" s="6">
        <f>+CMA!C14*40%</f>
        <v>0</v>
      </c>
    </row>
    <row r="38" spans="1:6">
      <c r="A38" s="3">
        <v>8</v>
      </c>
      <c r="B38" s="3" t="s">
        <v>8</v>
      </c>
      <c r="C38" s="6">
        <f>+CMA!C15*40%</f>
        <v>0</v>
      </c>
    </row>
    <row r="39" spans="1:6">
      <c r="A39" s="3">
        <v>9</v>
      </c>
      <c r="B39" s="3" t="s">
        <v>9</v>
      </c>
      <c r="C39" s="6">
        <f>+CMA!C16*40%</f>
        <v>0</v>
      </c>
    </row>
    <row r="40" spans="1:6">
      <c r="A40" s="3">
        <v>10</v>
      </c>
      <c r="B40" s="3" t="s">
        <v>10</v>
      </c>
      <c r="C40" s="6">
        <f>+CMA!C17*40%</f>
        <v>0</v>
      </c>
    </row>
    <row r="41" spans="1:6">
      <c r="A41" s="3">
        <v>11</v>
      </c>
      <c r="B41" s="3" t="s">
        <v>11</v>
      </c>
      <c r="C41" s="6">
        <f>+CMA!C18*40%</f>
        <v>6464800</v>
      </c>
    </row>
    <row r="42" spans="1:6" s="22" customFormat="1" ht="18.75">
      <c r="A42" s="20"/>
      <c r="B42" s="20" t="s">
        <v>46</v>
      </c>
      <c r="C42" s="21">
        <f>SUM(C31:C41)</f>
        <v>12543793.199999999</v>
      </c>
      <c r="D42" s="21"/>
      <c r="E42" s="20"/>
      <c r="F42" s="20"/>
    </row>
    <row r="43" spans="1:6" s="22" customFormat="1" ht="18.75">
      <c r="A43" s="20"/>
      <c r="B43" s="20" t="s">
        <v>42</v>
      </c>
      <c r="C43" s="21">
        <f>+C42/DATOS!B12</f>
        <v>27568.776263736261</v>
      </c>
      <c r="D43" s="21"/>
      <c r="E43" s="20"/>
      <c r="F43" s="20"/>
    </row>
    <row r="44" spans="1:6" s="12" customFormat="1" ht="21">
      <c r="A44" s="11"/>
      <c r="B44" s="11" t="s">
        <v>43</v>
      </c>
      <c r="C44" s="13">
        <f>+C43/12</f>
        <v>2297.3980219780219</v>
      </c>
      <c r="D44" s="13"/>
      <c r="E44" s="11"/>
      <c r="F44" s="11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E11" sqref="E11"/>
    </sheetView>
  </sheetViews>
  <sheetFormatPr baseColWidth="10" defaultRowHeight="17.25"/>
  <cols>
    <col min="1" max="1" width="4.625" style="3" customWidth="1"/>
    <col min="2" max="2" width="64" style="3" bestFit="1" customWidth="1"/>
    <col min="3" max="3" width="13.375" style="6" bestFit="1" customWidth="1"/>
    <col min="4" max="4" width="11.25" style="3"/>
    <col min="5" max="5" width="12.375" bestFit="1" customWidth="1"/>
  </cols>
  <sheetData>
    <row r="1" spans="1:5" s="25" customFormat="1" ht="31.5">
      <c r="A1" s="23" t="s">
        <v>13</v>
      </c>
      <c r="B1" s="23"/>
      <c r="C1" s="24"/>
      <c r="D1" s="23"/>
    </row>
    <row r="2" spans="1:5" s="5" customFormat="1">
      <c r="A2" s="4" t="s">
        <v>16</v>
      </c>
      <c r="B2" s="4"/>
      <c r="C2" s="8"/>
      <c r="D2" s="4"/>
    </row>
    <row r="3" spans="1:5">
      <c r="A3" s="3" t="s">
        <v>26</v>
      </c>
    </row>
    <row r="4" spans="1:5">
      <c r="A4" s="3" t="s">
        <v>15</v>
      </c>
    </row>
    <row r="6" spans="1:5" s="25" customFormat="1" ht="31.5">
      <c r="A6" s="23" t="s">
        <v>25</v>
      </c>
      <c r="B6" s="23"/>
      <c r="C6" s="24"/>
      <c r="D6" s="23"/>
    </row>
    <row r="8" spans="1:5">
      <c r="A8" s="3">
        <v>1</v>
      </c>
      <c r="B8" s="3" t="s">
        <v>27</v>
      </c>
    </row>
    <row r="9" spans="1:5">
      <c r="A9" s="3">
        <v>2</v>
      </c>
      <c r="B9" s="3" t="s">
        <v>28</v>
      </c>
    </row>
    <row r="10" spans="1:5">
      <c r="A10" s="3">
        <v>3</v>
      </c>
      <c r="B10" s="3" t="s">
        <v>29</v>
      </c>
    </row>
    <row r="11" spans="1:5">
      <c r="A11" s="3">
        <v>4</v>
      </c>
      <c r="B11" s="3" t="s">
        <v>30</v>
      </c>
    </row>
    <row r="12" spans="1:5">
      <c r="A12" s="3">
        <v>5</v>
      </c>
      <c r="B12" s="3" t="s">
        <v>31</v>
      </c>
    </row>
    <row r="13" spans="1:5">
      <c r="A13" s="3">
        <v>6</v>
      </c>
      <c r="B13" s="3" t="s">
        <v>32</v>
      </c>
      <c r="E13" s="67"/>
    </row>
    <row r="14" spans="1:5">
      <c r="A14" s="3">
        <v>7</v>
      </c>
      <c r="B14" s="3" t="s">
        <v>33</v>
      </c>
    </row>
    <row r="15" spans="1:5">
      <c r="A15" s="3">
        <v>8</v>
      </c>
      <c r="B15" s="3" t="s">
        <v>34</v>
      </c>
    </row>
    <row r="16" spans="1:5">
      <c r="A16" s="3">
        <v>9</v>
      </c>
      <c r="B16" s="3" t="s">
        <v>9</v>
      </c>
    </row>
    <row r="17" spans="1:3">
      <c r="A17" s="3">
        <v>10</v>
      </c>
      <c r="B17" s="3" t="s">
        <v>35</v>
      </c>
    </row>
    <row r="18" spans="1:3" s="20" customFormat="1" ht="18">
      <c r="B18" s="20" t="s">
        <v>47</v>
      </c>
      <c r="C18" s="21">
        <f>SUM(C8:C17)</f>
        <v>0</v>
      </c>
    </row>
    <row r="19" spans="1:3" s="3" customFormat="1">
      <c r="C19" s="6"/>
    </row>
    <row r="25" spans="1:3" s="3" customFormat="1">
      <c r="C25" s="6"/>
    </row>
    <row r="26" spans="1:3" s="3" customFormat="1">
      <c r="C26" s="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9"/>
  <sheetViews>
    <sheetView topLeftCell="A46" workbookViewId="0">
      <selection activeCell="G34" sqref="G34"/>
    </sheetView>
  </sheetViews>
  <sheetFormatPr baseColWidth="10" defaultRowHeight="17.25"/>
  <cols>
    <col min="1" max="1" width="5.375" style="3" customWidth="1"/>
    <col min="2" max="2" width="55.5" style="3" bestFit="1" customWidth="1"/>
    <col min="3" max="3" width="13.375" style="6" bestFit="1" customWidth="1"/>
    <col min="4" max="4" width="11.25" style="6"/>
    <col min="5" max="6" width="11.25" style="3"/>
  </cols>
  <sheetData>
    <row r="1" spans="1:6" s="25" customFormat="1" ht="31.5">
      <c r="A1" s="23" t="s">
        <v>13</v>
      </c>
      <c r="B1" s="23"/>
      <c r="C1" s="24"/>
      <c r="D1" s="24"/>
      <c r="E1" s="23"/>
      <c r="F1" s="23"/>
    </row>
    <row r="2" spans="1:6" s="5" customFormat="1">
      <c r="A2" s="4" t="s">
        <v>16</v>
      </c>
      <c r="B2" s="4"/>
      <c r="C2" s="8"/>
      <c r="D2" s="8"/>
      <c r="E2" s="4"/>
      <c r="F2" s="4"/>
    </row>
    <row r="3" spans="1:6">
      <c r="A3" s="3" t="s">
        <v>26</v>
      </c>
    </row>
    <row r="4" spans="1:6">
      <c r="A4" s="3" t="s">
        <v>15</v>
      </c>
    </row>
    <row r="6" spans="1:6" s="25" customFormat="1" ht="31.5">
      <c r="A6" s="23" t="s">
        <v>48</v>
      </c>
      <c r="B6" s="23"/>
      <c r="C6" s="24"/>
      <c r="D6" s="24"/>
      <c r="E6" s="23"/>
      <c r="F6" s="23"/>
    </row>
    <row r="7" spans="1:6" s="1" customFormat="1" ht="32.25">
      <c r="A7"/>
      <c r="B7" s="2"/>
      <c r="C7" s="7"/>
      <c r="D7" s="7"/>
      <c r="E7" s="2"/>
      <c r="F7" s="2"/>
    </row>
    <row r="8" spans="1:6" s="1" customFormat="1" ht="32.25">
      <c r="A8" s="2"/>
      <c r="B8" s="2"/>
      <c r="C8" s="7"/>
      <c r="D8" s="7"/>
      <c r="E8" s="2"/>
      <c r="F8" s="2"/>
    </row>
    <row r="9" spans="1:6">
      <c r="A9" s="3" t="s">
        <v>7</v>
      </c>
    </row>
    <row r="11" spans="1:6">
      <c r="A11" s="3">
        <v>1</v>
      </c>
      <c r="B11" s="3" t="s">
        <v>27</v>
      </c>
      <c r="C11" s="6">
        <v>8323944</v>
      </c>
    </row>
    <row r="12" spans="1:6">
      <c r="A12" s="3">
        <v>2</v>
      </c>
      <c r="B12" s="3" t="s">
        <v>28</v>
      </c>
      <c r="C12" s="6">
        <f>+CMO!C9*60%</f>
        <v>0</v>
      </c>
    </row>
    <row r="13" spans="1:6">
      <c r="A13" s="3">
        <v>3</v>
      </c>
      <c r="B13" s="3" t="s">
        <v>29</v>
      </c>
      <c r="C13" s="6">
        <f>+CMO!C10*60%</f>
        <v>0</v>
      </c>
    </row>
    <row r="14" spans="1:6">
      <c r="A14" s="3">
        <v>4</v>
      </c>
      <c r="B14" s="3" t="s">
        <v>30</v>
      </c>
      <c r="C14" s="6">
        <f>+CMO!C11*60%</f>
        <v>0</v>
      </c>
    </row>
    <row r="15" spans="1:6">
      <c r="A15" s="3">
        <v>5</v>
      </c>
      <c r="B15" s="3" t="s">
        <v>31</v>
      </c>
      <c r="C15" s="6">
        <f>+CMO!C12*60%</f>
        <v>0</v>
      </c>
    </row>
    <row r="16" spans="1:6">
      <c r="A16" s="3">
        <v>6</v>
      </c>
      <c r="B16" s="3" t="s">
        <v>32</v>
      </c>
      <c r="C16" s="6">
        <f>+CMO!C13*60%</f>
        <v>0</v>
      </c>
    </row>
    <row r="17" spans="1:6">
      <c r="A17" s="3">
        <v>7</v>
      </c>
      <c r="B17" s="3" t="s">
        <v>33</v>
      </c>
      <c r="C17" s="6">
        <f>+CMO!C14*60%</f>
        <v>0</v>
      </c>
    </row>
    <row r="18" spans="1:6">
      <c r="A18" s="3">
        <v>8</v>
      </c>
      <c r="B18" s="3" t="s">
        <v>34</v>
      </c>
      <c r="C18" s="6">
        <f>+CMO!C15*60%</f>
        <v>0</v>
      </c>
    </row>
    <row r="19" spans="1:6">
      <c r="A19" s="3">
        <v>9</v>
      </c>
      <c r="B19" s="3" t="s">
        <v>9</v>
      </c>
      <c r="C19" s="6">
        <f>+CMO!C16*60%</f>
        <v>0</v>
      </c>
    </row>
    <row r="20" spans="1:6">
      <c r="A20" s="3">
        <v>10</v>
      </c>
      <c r="B20" s="3" t="s">
        <v>35</v>
      </c>
      <c r="C20" s="6">
        <v>34581018</v>
      </c>
    </row>
    <row r="21" spans="1:6" s="22" customFormat="1" ht="18.75">
      <c r="A21" s="20"/>
      <c r="B21" s="20" t="s">
        <v>51</v>
      </c>
      <c r="C21" s="21">
        <f>SUM(C11:C20)</f>
        <v>42904962</v>
      </c>
      <c r="D21" s="21"/>
      <c r="E21" s="20"/>
      <c r="F21" s="20"/>
    </row>
    <row r="22" spans="1:6" s="22" customFormat="1" ht="18.75">
      <c r="A22" s="20"/>
      <c r="B22" s="20"/>
      <c r="C22" s="21"/>
      <c r="D22" s="21"/>
      <c r="E22" s="20"/>
      <c r="F22" s="20"/>
    </row>
    <row r="23" spans="1:6">
      <c r="B23" s="3" t="s">
        <v>39</v>
      </c>
      <c r="C23" s="10">
        <v>0.3</v>
      </c>
    </row>
    <row r="24" spans="1:6">
      <c r="B24"/>
      <c r="C24" s="6">
        <f>+DATOS!B23</f>
        <v>67080</v>
      </c>
    </row>
    <row r="25" spans="1:6">
      <c r="B25"/>
      <c r="C25" s="10">
        <f>1-C23</f>
        <v>0.7</v>
      </c>
    </row>
    <row r="26" spans="1:6">
      <c r="B26"/>
      <c r="C26" s="6">
        <f>+C24*C25</f>
        <v>46956</v>
      </c>
    </row>
    <row r="27" spans="1:6" s="12" customFormat="1" ht="21">
      <c r="A27" s="11"/>
      <c r="C27" s="13">
        <f>+C21/C26</f>
        <v>913.72693585484285</v>
      </c>
      <c r="D27" s="13"/>
      <c r="E27" s="11"/>
      <c r="F27" s="11"/>
    </row>
    <row r="28" spans="1:6">
      <c r="B28"/>
    </row>
    <row r="29" spans="1:6" s="25" customFormat="1" ht="31.5">
      <c r="A29" s="23" t="s">
        <v>49</v>
      </c>
      <c r="B29" s="23"/>
      <c r="C29" s="24"/>
      <c r="D29" s="24"/>
      <c r="E29" s="23"/>
      <c r="F29" s="23"/>
    </row>
    <row r="30" spans="1:6" s="1" customFormat="1" ht="32.25">
      <c r="A30"/>
      <c r="B30" s="2"/>
      <c r="C30" s="7"/>
      <c r="D30" s="7"/>
      <c r="E30" s="2"/>
      <c r="F30" s="2"/>
    </row>
    <row r="31" spans="1:6" s="1" customFormat="1" ht="32.25">
      <c r="A31" s="2"/>
      <c r="B31" s="2"/>
      <c r="C31" s="7"/>
      <c r="D31" s="7"/>
      <c r="E31" s="2"/>
      <c r="F31" s="2"/>
    </row>
    <row r="32" spans="1:6">
      <c r="A32" s="3" t="s">
        <v>12</v>
      </c>
    </row>
    <row r="34" spans="1:4">
      <c r="A34" s="3">
        <v>1</v>
      </c>
      <c r="B34" s="3" t="s">
        <v>27</v>
      </c>
      <c r="C34" s="6">
        <v>32292926</v>
      </c>
    </row>
    <row r="35" spans="1:4">
      <c r="A35" s="3">
        <v>2</v>
      </c>
      <c r="B35" s="3" t="s">
        <v>28</v>
      </c>
      <c r="C35" s="6">
        <f>+CMO!C9*40%</f>
        <v>0</v>
      </c>
    </row>
    <row r="36" spans="1:4">
      <c r="A36" s="3">
        <v>3</v>
      </c>
      <c r="B36" s="3" t="s">
        <v>29</v>
      </c>
      <c r="C36" s="6">
        <f>+CMO!C10*40%</f>
        <v>0</v>
      </c>
    </row>
    <row r="37" spans="1:4">
      <c r="A37" s="3">
        <v>4</v>
      </c>
      <c r="B37" s="3" t="s">
        <v>30</v>
      </c>
      <c r="C37" s="6">
        <f>+CMO!C11*40%</f>
        <v>0</v>
      </c>
    </row>
    <row r="38" spans="1:4">
      <c r="A38" s="3">
        <v>5</v>
      </c>
      <c r="B38" s="3" t="s">
        <v>31</v>
      </c>
      <c r="C38" s="6">
        <f>+CMO!C12*40%</f>
        <v>0</v>
      </c>
    </row>
    <row r="39" spans="1:4">
      <c r="A39" s="3">
        <v>6</v>
      </c>
      <c r="B39" s="3" t="s">
        <v>32</v>
      </c>
      <c r="C39" s="6">
        <f>+CMO!C13*40%</f>
        <v>0</v>
      </c>
    </row>
    <row r="40" spans="1:4">
      <c r="A40" s="3">
        <v>7</v>
      </c>
      <c r="B40" s="3" t="s">
        <v>33</v>
      </c>
      <c r="C40" s="6">
        <f>+CMO!C14*40%</f>
        <v>0</v>
      </c>
    </row>
    <row r="41" spans="1:4" s="3" customFormat="1">
      <c r="A41" s="3">
        <v>8</v>
      </c>
      <c r="B41" s="3" t="s">
        <v>34</v>
      </c>
      <c r="C41" s="6">
        <f>+CMO!C15*40%</f>
        <v>0</v>
      </c>
      <c r="D41" s="6"/>
    </row>
    <row r="42" spans="1:4" s="3" customFormat="1">
      <c r="A42" s="3">
        <v>9</v>
      </c>
      <c r="B42" s="3" t="s">
        <v>9</v>
      </c>
      <c r="C42" s="6">
        <f>+CMO!C16*40%</f>
        <v>0</v>
      </c>
      <c r="D42" s="6"/>
    </row>
    <row r="43" spans="1:4" s="3" customFormat="1">
      <c r="A43" s="3">
        <v>10</v>
      </c>
      <c r="B43" s="3" t="s">
        <v>35</v>
      </c>
      <c r="C43" s="6">
        <v>960000</v>
      </c>
      <c r="D43" s="6"/>
    </row>
    <row r="44" spans="1:4" s="20" customFormat="1" ht="18">
      <c r="B44" s="20" t="s">
        <v>50</v>
      </c>
      <c r="C44" s="21">
        <f>SUM(C34:C43)</f>
        <v>33252926</v>
      </c>
      <c r="D44" s="21"/>
    </row>
    <row r="45" spans="1:4" s="3" customFormat="1">
      <c r="B45"/>
      <c r="C45" s="6"/>
      <c r="D45" s="6"/>
    </row>
    <row r="46" spans="1:4">
      <c r="C46" s="6">
        <f>+DATOS!B23</f>
        <v>67080</v>
      </c>
    </row>
    <row r="47" spans="1:4">
      <c r="B47"/>
      <c r="C47" s="6">
        <f>+DATOS!B24</f>
        <v>58925</v>
      </c>
    </row>
    <row r="48" spans="1:4">
      <c r="B48"/>
      <c r="C48" s="10">
        <v>0.21</v>
      </c>
    </row>
    <row r="49" spans="1:6">
      <c r="B49"/>
      <c r="C49" s="10">
        <v>0.56999999999999995</v>
      </c>
    </row>
    <row r="50" spans="1:6">
      <c r="B50" s="3" t="s">
        <v>39</v>
      </c>
      <c r="C50" s="10">
        <v>0.3</v>
      </c>
    </row>
    <row r="51" spans="1:6">
      <c r="B51"/>
      <c r="C51" s="10">
        <f>1-C48</f>
        <v>0.79</v>
      </c>
    </row>
    <row r="52" spans="1:6">
      <c r="B52"/>
      <c r="C52" s="68">
        <f>+C47/C51</f>
        <v>74588.607594936708</v>
      </c>
    </row>
    <row r="53" spans="1:6">
      <c r="C53" s="68"/>
    </row>
    <row r="54" spans="1:6">
      <c r="B54"/>
      <c r="C54" s="15">
        <f>+C48-C50</f>
        <v>-0.09</v>
      </c>
    </row>
    <row r="55" spans="1:6">
      <c r="B55"/>
      <c r="C55" s="68">
        <f>+C52*C49*C54</f>
        <v>-3826.3955696202529</v>
      </c>
    </row>
    <row r="56" spans="1:6">
      <c r="C56" s="68"/>
    </row>
    <row r="57" spans="1:6">
      <c r="C57" s="68">
        <f>+C46+C55</f>
        <v>63253.604430379746</v>
      </c>
    </row>
    <row r="58" spans="1:6">
      <c r="C58" s="68"/>
    </row>
    <row r="59" spans="1:6" s="12" customFormat="1" ht="21">
      <c r="A59" s="11"/>
      <c r="B59" s="11"/>
      <c r="C59" s="13">
        <f>+C44/C57</f>
        <v>525.70800193054492</v>
      </c>
      <c r="D59" s="13"/>
      <c r="E59" s="11"/>
      <c r="F59" s="11"/>
    </row>
  </sheetData>
  <mergeCells count="3">
    <mergeCell ref="C52:C53"/>
    <mergeCell ref="C55:C56"/>
    <mergeCell ref="C57:C5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B43" sqref="B43"/>
    </sheetView>
  </sheetViews>
  <sheetFormatPr baseColWidth="10" defaultRowHeight="17.25"/>
  <cols>
    <col min="1" max="1" width="4.625" style="3" customWidth="1"/>
    <col min="2" max="2" width="64" style="3" bestFit="1" customWidth="1"/>
    <col min="3" max="3" width="13.375" style="6" bestFit="1" customWidth="1"/>
    <col min="4" max="6" width="11" style="3"/>
  </cols>
  <sheetData>
    <row r="1" spans="1:6" s="25" customFormat="1" ht="31.5">
      <c r="A1" s="23" t="s">
        <v>13</v>
      </c>
      <c r="B1" s="23"/>
      <c r="C1" s="24"/>
      <c r="D1" s="23"/>
      <c r="E1" s="23"/>
      <c r="F1" s="23"/>
    </row>
    <row r="2" spans="1:6" s="5" customFormat="1">
      <c r="A2" s="4" t="s">
        <v>16</v>
      </c>
      <c r="B2" s="4"/>
      <c r="C2" s="8"/>
      <c r="D2" s="4"/>
      <c r="E2" s="4"/>
      <c r="F2" s="4"/>
    </row>
    <row r="3" spans="1:6">
      <c r="A3" s="3" t="s">
        <v>26</v>
      </c>
    </row>
    <row r="4" spans="1:6">
      <c r="A4" s="3" t="s">
        <v>15</v>
      </c>
    </row>
    <row r="6" spans="1:6" s="25" customFormat="1" ht="31.5">
      <c r="A6" s="23" t="s">
        <v>67</v>
      </c>
      <c r="B6" s="23"/>
      <c r="C6" s="24"/>
      <c r="D6" s="23"/>
      <c r="E6" s="23"/>
      <c r="F6" s="23"/>
    </row>
    <row r="7" spans="1:6" s="14" customFormat="1" ht="16.5">
      <c r="A7" s="9" t="s">
        <v>54</v>
      </c>
      <c r="B7" s="9"/>
      <c r="C7" s="26"/>
      <c r="D7" s="26"/>
      <c r="E7" s="9"/>
      <c r="F7" s="9"/>
    </row>
    <row r="8" spans="1:6" s="14" customFormat="1" ht="16.5">
      <c r="A8" s="9" t="s">
        <v>55</v>
      </c>
      <c r="B8" s="9"/>
      <c r="C8" s="26"/>
      <c r="D8" s="26"/>
      <c r="E8" s="9"/>
      <c r="F8" s="9"/>
    </row>
    <row r="9" spans="1:6" s="14" customFormat="1" ht="16.5">
      <c r="A9" s="9" t="s">
        <v>56</v>
      </c>
      <c r="B9" s="9"/>
      <c r="C9" s="26"/>
      <c r="D9" s="26"/>
      <c r="E9" s="9"/>
      <c r="F9" s="9"/>
    </row>
    <row r="10" spans="1:6" s="14" customFormat="1" ht="16.5">
      <c r="A10" s="9" t="s">
        <v>57</v>
      </c>
      <c r="B10" s="9"/>
      <c r="C10" s="26"/>
      <c r="D10" s="26"/>
      <c r="E10" s="9"/>
      <c r="F10" s="9"/>
    </row>
    <row r="12" spans="1:6">
      <c r="A12" s="3">
        <v>1</v>
      </c>
      <c r="B12" s="3" t="s">
        <v>59</v>
      </c>
      <c r="C12" s="6">
        <f>+'CMI ac y al'!C14+'CMI ac y al'!C36</f>
        <v>2000000</v>
      </c>
    </row>
    <row r="13" spans="1:6">
      <c r="A13" s="3">
        <v>2</v>
      </c>
      <c r="B13" s="3" t="s">
        <v>58</v>
      </c>
      <c r="C13" s="6">
        <f>+'CMI ac y al'!C15+'CMI ac y al'!C37</f>
        <v>2500000</v>
      </c>
    </row>
    <row r="14" spans="1:6">
      <c r="A14" s="3">
        <v>3</v>
      </c>
      <c r="B14" s="3" t="s">
        <v>60</v>
      </c>
      <c r="C14" s="6">
        <f>+'CMI ac y al'!C16+'CMI ac y al'!C38</f>
        <v>2500000</v>
      </c>
    </row>
    <row r="15" spans="1:6">
      <c r="A15" s="3">
        <v>4</v>
      </c>
      <c r="B15" s="3" t="s">
        <v>61</v>
      </c>
      <c r="C15" s="6">
        <f>+'CMI ac y al'!C17+'CMI ac y al'!C39</f>
        <v>1500000</v>
      </c>
    </row>
    <row r="16" spans="1:6">
      <c r="A16" s="3">
        <v>5</v>
      </c>
      <c r="B16" s="3" t="s">
        <v>62</v>
      </c>
      <c r="C16" s="6">
        <f>+'CMI ac y al'!C18</f>
        <v>500000</v>
      </c>
    </row>
    <row r="17" spans="1:3">
      <c r="A17" s="3">
        <v>6</v>
      </c>
      <c r="B17" s="3" t="s">
        <v>65</v>
      </c>
      <c r="C17" s="6">
        <f>+'CMI ac y al'!C19</f>
        <v>1500000</v>
      </c>
    </row>
    <row r="18" spans="1:3" s="20" customFormat="1" ht="18">
      <c r="B18" s="20" t="s">
        <v>66</v>
      </c>
      <c r="C18" s="21">
        <f>SUM(C12:C17)</f>
        <v>10500000</v>
      </c>
    </row>
    <row r="19" spans="1:3" s="3" customFormat="1">
      <c r="C19" s="6"/>
    </row>
    <row r="25" spans="1:3" s="3" customFormat="1">
      <c r="C25" s="6"/>
    </row>
    <row r="26" spans="1:3" s="3" customFormat="1">
      <c r="C26" s="6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5"/>
  <sheetViews>
    <sheetView topLeftCell="A22" workbookViewId="0">
      <selection activeCell="I32" sqref="I32"/>
    </sheetView>
  </sheetViews>
  <sheetFormatPr baseColWidth="10" defaultRowHeight="17.25"/>
  <cols>
    <col min="1" max="1" width="5.375" style="3" customWidth="1"/>
    <col min="2" max="2" width="55.5" style="3" bestFit="1" customWidth="1"/>
    <col min="3" max="3" width="13.375" style="6" bestFit="1" customWidth="1"/>
    <col min="4" max="4" width="11" style="6"/>
    <col min="5" max="6" width="11" style="3"/>
  </cols>
  <sheetData>
    <row r="1" spans="1:6" s="25" customFormat="1" ht="31.5">
      <c r="A1" s="23" t="s">
        <v>13</v>
      </c>
      <c r="B1" s="23"/>
      <c r="C1" s="24"/>
      <c r="D1" s="24"/>
      <c r="E1" s="23"/>
      <c r="F1" s="23"/>
    </row>
    <row r="2" spans="1:6" s="5" customFormat="1">
      <c r="A2" s="4" t="s">
        <v>16</v>
      </c>
      <c r="B2" s="4"/>
      <c r="C2" s="8"/>
      <c r="D2" s="8"/>
      <c r="E2" s="4"/>
      <c r="F2" s="4"/>
    </row>
    <row r="3" spans="1:6">
      <c r="A3" s="3" t="s">
        <v>26</v>
      </c>
    </row>
    <row r="4" spans="1:6">
      <c r="A4" s="3" t="s">
        <v>15</v>
      </c>
    </row>
    <row r="6" spans="1:6" s="25" customFormat="1" ht="31.5">
      <c r="A6" s="23" t="s">
        <v>52</v>
      </c>
      <c r="B6" s="23"/>
      <c r="C6" s="24"/>
      <c r="D6" s="24"/>
      <c r="E6" s="23"/>
      <c r="F6" s="23"/>
    </row>
    <row r="7" spans="1:6" s="1" customFormat="1" ht="32.25">
      <c r="A7"/>
      <c r="B7" s="2"/>
      <c r="C7" s="7"/>
      <c r="D7" s="7"/>
      <c r="E7" s="2"/>
      <c r="F7" s="2"/>
    </row>
    <row r="8" spans="1:6" s="1" customFormat="1" ht="32.25">
      <c r="A8" s="2"/>
      <c r="B8" s="2"/>
      <c r="C8" s="7"/>
      <c r="D8" s="7"/>
      <c r="E8" s="2"/>
      <c r="F8" s="2"/>
    </row>
    <row r="9" spans="1:6" s="14" customFormat="1" ht="16.5">
      <c r="A9" s="9" t="s">
        <v>54</v>
      </c>
      <c r="B9" s="9"/>
      <c r="C9" s="26"/>
      <c r="D9" s="26"/>
      <c r="E9" s="9"/>
      <c r="F9" s="9"/>
    </row>
    <row r="10" spans="1:6" s="14" customFormat="1" ht="16.5">
      <c r="A10" s="9" t="s">
        <v>55</v>
      </c>
      <c r="B10" s="9"/>
      <c r="C10" s="26"/>
      <c r="D10" s="26"/>
      <c r="E10" s="9"/>
      <c r="F10" s="9"/>
    </row>
    <row r="11" spans="1:6" s="14" customFormat="1" ht="16.5">
      <c r="A11" s="9" t="s">
        <v>56</v>
      </c>
      <c r="B11" s="9"/>
      <c r="C11" s="26"/>
      <c r="D11" s="26"/>
      <c r="E11" s="9"/>
      <c r="F11" s="9"/>
    </row>
    <row r="12" spans="1:6" s="14" customFormat="1" ht="16.5">
      <c r="A12" s="9" t="s">
        <v>57</v>
      </c>
      <c r="B12" s="9"/>
      <c r="C12" s="26"/>
      <c r="D12" s="26"/>
      <c r="E12" s="9"/>
      <c r="F12" s="9"/>
    </row>
    <row r="13" spans="1:6" s="14" customFormat="1" ht="16.5">
      <c r="A13" s="9"/>
      <c r="B13" s="9"/>
      <c r="C13" s="26"/>
      <c r="D13" s="26"/>
      <c r="E13" s="9"/>
      <c r="F13" s="9"/>
    </row>
    <row r="14" spans="1:6">
      <c r="A14" s="3">
        <v>1</v>
      </c>
      <c r="B14" s="3" t="s">
        <v>59</v>
      </c>
      <c r="C14" s="6">
        <v>1000000</v>
      </c>
    </row>
    <row r="15" spans="1:6">
      <c r="A15" s="3">
        <v>2</v>
      </c>
      <c r="B15" s="3" t="s">
        <v>58</v>
      </c>
      <c r="C15" s="6">
        <v>1500000</v>
      </c>
    </row>
    <row r="16" spans="1:6">
      <c r="A16" s="3">
        <v>3</v>
      </c>
      <c r="B16" s="3" t="s">
        <v>60</v>
      </c>
      <c r="C16" s="6">
        <v>1000000</v>
      </c>
    </row>
    <row r="17" spans="1:6">
      <c r="A17" s="3">
        <v>4</v>
      </c>
      <c r="B17" s="3" t="s">
        <v>61</v>
      </c>
      <c r="C17" s="6">
        <v>1000000</v>
      </c>
    </row>
    <row r="18" spans="1:6">
      <c r="A18" s="3">
        <v>5</v>
      </c>
      <c r="B18" s="3" t="s">
        <v>62</v>
      </c>
      <c r="C18" s="6">
        <v>500000</v>
      </c>
    </row>
    <row r="19" spans="1:6">
      <c r="A19" s="3">
        <v>6</v>
      </c>
      <c r="B19" s="3" t="s">
        <v>65</v>
      </c>
      <c r="C19" s="6">
        <v>1500000</v>
      </c>
    </row>
    <row r="20" spans="1:6" s="22" customFormat="1" ht="18.75">
      <c r="A20" s="20"/>
      <c r="B20" s="20" t="s">
        <v>63</v>
      </c>
      <c r="C20" s="21">
        <f>SUM(C14:C19)</f>
        <v>6500000</v>
      </c>
      <c r="D20" s="21"/>
      <c r="E20" s="20"/>
      <c r="F20" s="20"/>
    </row>
    <row r="21" spans="1:6" s="22" customFormat="1" ht="18.75">
      <c r="A21" s="20"/>
      <c r="B21" s="20"/>
      <c r="C21" s="21"/>
      <c r="D21" s="21"/>
      <c r="E21" s="20"/>
      <c r="F21" s="20"/>
    </row>
    <row r="22" spans="1:6">
      <c r="B22" s="3" t="s">
        <v>39</v>
      </c>
      <c r="C22" s="10">
        <v>0.3</v>
      </c>
    </row>
    <row r="23" spans="1:6">
      <c r="B23"/>
      <c r="C23" s="6">
        <f>+DATOS!B23</f>
        <v>67080</v>
      </c>
    </row>
    <row r="24" spans="1:6">
      <c r="B24"/>
      <c r="C24" s="10">
        <f>1-C22</f>
        <v>0.7</v>
      </c>
    </row>
    <row r="25" spans="1:6">
      <c r="B25"/>
      <c r="C25" s="6">
        <f>+C23*C24</f>
        <v>46956</v>
      </c>
    </row>
    <row r="26" spans="1:6" s="12" customFormat="1" ht="21">
      <c r="A26" s="11"/>
      <c r="C26" s="13">
        <f>+C20/C25</f>
        <v>138.42746400885935</v>
      </c>
      <c r="D26" s="13"/>
      <c r="E26" s="11"/>
      <c r="F26" s="11"/>
    </row>
    <row r="27" spans="1:6">
      <c r="B27"/>
    </row>
    <row r="28" spans="1:6" s="25" customFormat="1" ht="31.5">
      <c r="A28" s="23" t="s">
        <v>53</v>
      </c>
      <c r="B28" s="23"/>
      <c r="C28" s="24"/>
      <c r="D28" s="24"/>
      <c r="E28" s="23"/>
      <c r="F28" s="23"/>
    </row>
    <row r="29" spans="1:6" s="1" customFormat="1" ht="32.25">
      <c r="A29"/>
      <c r="B29" s="2"/>
      <c r="C29" s="7"/>
      <c r="D29" s="7"/>
      <c r="E29" s="2"/>
      <c r="F29" s="2"/>
    </row>
    <row r="30" spans="1:6" s="1" customFormat="1" ht="32.25">
      <c r="A30" s="2"/>
      <c r="B30" s="2"/>
      <c r="C30" s="7"/>
      <c r="D30" s="7"/>
      <c r="E30" s="2"/>
      <c r="F30" s="2"/>
    </row>
    <row r="31" spans="1:6" s="14" customFormat="1" ht="16.5">
      <c r="A31" s="9" t="s">
        <v>54</v>
      </c>
      <c r="B31" s="9"/>
      <c r="C31" s="26"/>
      <c r="D31" s="26"/>
      <c r="E31" s="9"/>
      <c r="F31" s="9"/>
    </row>
    <row r="32" spans="1:6" s="14" customFormat="1" ht="16.5">
      <c r="A32" s="9" t="s">
        <v>55</v>
      </c>
      <c r="B32" s="9"/>
      <c r="C32" s="26"/>
      <c r="D32" s="26"/>
      <c r="E32" s="9"/>
      <c r="F32" s="9"/>
    </row>
    <row r="33" spans="1:6" s="14" customFormat="1" ht="16.5">
      <c r="A33" s="9" t="s">
        <v>56</v>
      </c>
      <c r="B33" s="9"/>
      <c r="C33" s="26"/>
      <c r="D33" s="26"/>
      <c r="E33" s="9"/>
      <c r="F33" s="9"/>
    </row>
    <row r="34" spans="1:6" s="14" customFormat="1" ht="16.5">
      <c r="A34" s="9" t="s">
        <v>57</v>
      </c>
      <c r="B34" s="9"/>
      <c r="C34" s="26"/>
      <c r="D34" s="26"/>
      <c r="E34" s="9"/>
      <c r="F34" s="9"/>
    </row>
    <row r="36" spans="1:6" s="3" customFormat="1">
      <c r="A36" s="3">
        <v>1</v>
      </c>
      <c r="B36" s="3" t="s">
        <v>59</v>
      </c>
      <c r="C36" s="6">
        <v>1000000</v>
      </c>
      <c r="D36" s="6"/>
    </row>
    <row r="37" spans="1:6" s="3" customFormat="1">
      <c r="A37" s="3">
        <v>2</v>
      </c>
      <c r="B37" s="3" t="s">
        <v>58</v>
      </c>
      <c r="C37" s="6">
        <v>1000000</v>
      </c>
      <c r="D37" s="6"/>
    </row>
    <row r="38" spans="1:6" s="3" customFormat="1">
      <c r="A38" s="3">
        <v>3</v>
      </c>
      <c r="B38" s="3" t="s">
        <v>60</v>
      </c>
      <c r="C38" s="6">
        <v>1500000</v>
      </c>
      <c r="D38" s="6"/>
    </row>
    <row r="39" spans="1:6" s="3" customFormat="1">
      <c r="A39" s="3">
        <v>4</v>
      </c>
      <c r="B39" s="3" t="s">
        <v>61</v>
      </c>
      <c r="C39" s="6">
        <v>500000</v>
      </c>
      <c r="D39" s="6"/>
    </row>
    <row r="40" spans="1:6" s="20" customFormat="1" ht="18">
      <c r="B40" s="20" t="s">
        <v>64</v>
      </c>
      <c r="C40" s="21">
        <f>SUM(C36:C39)</f>
        <v>4000000</v>
      </c>
      <c r="D40" s="21"/>
    </row>
    <row r="41" spans="1:6" s="3" customFormat="1">
      <c r="B41"/>
      <c r="C41" s="6"/>
      <c r="D41" s="6"/>
    </row>
    <row r="42" spans="1:6" s="3" customFormat="1">
      <c r="C42" s="6">
        <f>+DATOS!B23</f>
        <v>67080</v>
      </c>
      <c r="D42" s="6"/>
    </row>
    <row r="43" spans="1:6" s="3" customFormat="1">
      <c r="B43"/>
      <c r="C43" s="6">
        <f>+DATOS!B24</f>
        <v>58925</v>
      </c>
      <c r="D43" s="6"/>
    </row>
    <row r="44" spans="1:6" s="3" customFormat="1">
      <c r="B44"/>
      <c r="C44" s="10">
        <v>0.21</v>
      </c>
      <c r="D44" s="6"/>
    </row>
    <row r="45" spans="1:6">
      <c r="B45"/>
      <c r="C45" s="10">
        <v>0.56999999999999995</v>
      </c>
    </row>
    <row r="46" spans="1:6">
      <c r="B46" s="3" t="s">
        <v>39</v>
      </c>
      <c r="C46" s="10">
        <v>0.3</v>
      </c>
    </row>
    <row r="47" spans="1:6">
      <c r="B47"/>
      <c r="C47" s="10">
        <f>1-C44</f>
        <v>0.79</v>
      </c>
    </row>
    <row r="48" spans="1:6">
      <c r="B48"/>
      <c r="C48" s="68">
        <f>+C43/C47</f>
        <v>74588.607594936708</v>
      </c>
    </row>
    <row r="49" spans="1:6">
      <c r="C49" s="68"/>
    </row>
    <row r="50" spans="1:6">
      <c r="B50"/>
      <c r="C50" s="15">
        <f>+C44-C46</f>
        <v>-0.09</v>
      </c>
    </row>
    <row r="51" spans="1:6">
      <c r="B51"/>
      <c r="C51" s="68">
        <f>+C48*C45*C50</f>
        <v>-3826.3955696202529</v>
      </c>
    </row>
    <row r="52" spans="1:6">
      <c r="C52" s="68"/>
    </row>
    <row r="53" spans="1:6">
      <c r="C53" s="68">
        <f>+C42+C51</f>
        <v>63253.604430379746</v>
      </c>
    </row>
    <row r="54" spans="1:6">
      <c r="C54" s="68"/>
    </row>
    <row r="55" spans="1:6" s="12" customFormat="1" ht="21">
      <c r="A55" s="11"/>
      <c r="B55" s="11"/>
      <c r="C55" s="13">
        <f>+C40/C53</f>
        <v>63.237503001154835</v>
      </c>
      <c r="D55" s="13"/>
      <c r="E55" s="11"/>
      <c r="F55" s="11"/>
    </row>
  </sheetData>
  <mergeCells count="3">
    <mergeCell ref="C48:C49"/>
    <mergeCell ref="C51:C52"/>
    <mergeCell ref="C53:C5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7"/>
  <sheetViews>
    <sheetView topLeftCell="A4" workbookViewId="0">
      <selection activeCell="D15" sqref="D15"/>
    </sheetView>
  </sheetViews>
  <sheetFormatPr baseColWidth="10" defaultRowHeight="17.25"/>
  <cols>
    <col min="1" max="1" width="4.625" style="3" customWidth="1"/>
    <col min="2" max="2" width="64" style="3" bestFit="1" customWidth="1"/>
    <col min="3" max="3" width="13.375" style="6" bestFit="1" customWidth="1"/>
    <col min="4" max="6" width="11" style="3"/>
  </cols>
  <sheetData>
    <row r="1" spans="1:6" s="25" customFormat="1" ht="31.5">
      <c r="A1" s="23" t="s">
        <v>13</v>
      </c>
      <c r="B1" s="23"/>
      <c r="C1" s="24"/>
      <c r="D1" s="23"/>
      <c r="E1" s="23"/>
      <c r="F1" s="23"/>
    </row>
    <row r="2" spans="1:6" s="5" customFormat="1">
      <c r="A2" s="4" t="s">
        <v>16</v>
      </c>
      <c r="B2" s="4"/>
      <c r="C2" s="8"/>
      <c r="D2" s="4"/>
      <c r="E2" s="4"/>
      <c r="F2" s="4"/>
    </row>
    <row r="3" spans="1:6">
      <c r="A3" s="3" t="s">
        <v>26</v>
      </c>
    </row>
    <row r="4" spans="1:6">
      <c r="A4" s="3" t="s">
        <v>15</v>
      </c>
    </row>
    <row r="6" spans="1:6" s="25" customFormat="1" ht="31.5">
      <c r="A6" s="23" t="s">
        <v>68</v>
      </c>
      <c r="B6" s="23"/>
      <c r="C6" s="24"/>
      <c r="D6" s="23"/>
      <c r="E6" s="23"/>
      <c r="F6" s="23"/>
    </row>
    <row r="7" spans="1:6" s="20" customFormat="1" ht="18">
      <c r="A7" s="20" t="s">
        <v>69</v>
      </c>
      <c r="C7" s="21"/>
    </row>
    <row r="8" spans="1:6" s="20" customFormat="1" ht="18">
      <c r="C8" s="21"/>
    </row>
    <row r="9" spans="1:6" s="20" customFormat="1" ht="18">
      <c r="A9"/>
      <c r="C9" s="21"/>
    </row>
    <row r="11" spans="1:6" s="31" customFormat="1" ht="18.75">
      <c r="A11" s="28" t="s">
        <v>70</v>
      </c>
      <c r="B11" s="29"/>
      <c r="C11" s="30"/>
      <c r="D11" s="29"/>
      <c r="E11" s="29"/>
      <c r="F11" s="29"/>
    </row>
    <row r="13" spans="1:6">
      <c r="B13" s="3" t="s">
        <v>71</v>
      </c>
      <c r="C13" s="27">
        <v>0.7</v>
      </c>
    </row>
    <row r="14" spans="1:6">
      <c r="B14"/>
      <c r="C14" s="27">
        <f>+C13</f>
        <v>0.7</v>
      </c>
    </row>
    <row r="15" spans="1:6">
      <c r="B15" s="3" t="s">
        <v>39</v>
      </c>
      <c r="C15" s="27">
        <v>0.3</v>
      </c>
    </row>
    <row r="16" spans="1:6">
      <c r="C16" s="27">
        <f>1-C15</f>
        <v>0.7</v>
      </c>
    </row>
    <row r="17" spans="1:6" s="12" customFormat="1" ht="21">
      <c r="A17" s="11"/>
      <c r="C17" s="41">
        <f>+C14/C16</f>
        <v>1</v>
      </c>
      <c r="D17" s="11"/>
      <c r="E17" s="11"/>
      <c r="F17" s="11"/>
    </row>
  </sheetData>
  <hyperlinks>
    <hyperlink ref="A11" r:id="rId1" tooltip="Nuevo enlace a la Resolución 240 de 2004" display="http://www.minambiente.gov.co/documentos/res_0240_080304.pdf"/>
  </hyperlinks>
  <pageMargins left="0.7" right="0.7" top="0.75" bottom="0.75" header="0.3" footer="0.3"/>
  <pageSetup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8"/>
  <sheetViews>
    <sheetView topLeftCell="A40" workbookViewId="0">
      <selection activeCell="E57" sqref="E57"/>
    </sheetView>
  </sheetViews>
  <sheetFormatPr baseColWidth="10" defaultRowHeight="17.25"/>
  <cols>
    <col min="1" max="1" width="4.625" style="3" customWidth="1"/>
    <col min="2" max="2" width="64" style="3" bestFit="1" customWidth="1"/>
    <col min="3" max="3" width="13.375" style="6" bestFit="1" customWidth="1"/>
    <col min="4" max="6" width="11" style="3"/>
  </cols>
  <sheetData>
    <row r="1" spans="1:6" s="25" customFormat="1" ht="31.5">
      <c r="A1" s="23" t="s">
        <v>13</v>
      </c>
      <c r="B1" s="23"/>
      <c r="C1" s="24"/>
      <c r="D1" s="32"/>
      <c r="E1" s="23"/>
      <c r="F1" s="23"/>
    </row>
    <row r="2" spans="1:6" s="5" customFormat="1">
      <c r="A2" s="4" t="s">
        <v>16</v>
      </c>
      <c r="B2" s="4"/>
      <c r="C2" s="8"/>
      <c r="D2" s="4"/>
      <c r="E2" s="4"/>
      <c r="F2" s="4"/>
    </row>
    <row r="3" spans="1:6">
      <c r="A3" s="3" t="s">
        <v>26</v>
      </c>
    </row>
    <row r="4" spans="1:6">
      <c r="A4" s="3" t="s">
        <v>15</v>
      </c>
    </row>
    <row r="6" spans="1:6" s="25" customFormat="1" ht="31.5">
      <c r="A6" s="23" t="s">
        <v>72</v>
      </c>
      <c r="B6" s="23"/>
      <c r="C6" s="24"/>
      <c r="D6" s="32"/>
      <c r="E6" s="23"/>
      <c r="F6" s="23"/>
    </row>
    <row r="7" spans="1:6" s="20" customFormat="1" ht="18">
      <c r="A7" s="20" t="s">
        <v>73</v>
      </c>
      <c r="C7" s="21"/>
      <c r="D7" s="32"/>
    </row>
    <row r="8" spans="1:6" s="20" customFormat="1" ht="18">
      <c r="A8"/>
      <c r="C8" s="21"/>
      <c r="D8" s="32"/>
    </row>
    <row r="9" spans="1:6" s="20" customFormat="1" ht="18">
      <c r="A9"/>
      <c r="C9"/>
      <c r="D9" s="32"/>
    </row>
    <row r="11" spans="1:6" s="31" customFormat="1" ht="18.75">
      <c r="A11" s="28" t="s">
        <v>70</v>
      </c>
      <c r="B11" s="29"/>
      <c r="C11" s="30"/>
      <c r="D11" s="38"/>
      <c r="E11" s="29"/>
      <c r="F11" s="29"/>
    </row>
    <row r="12" spans="1:6" s="31" customFormat="1" ht="18.75">
      <c r="A12" s="28"/>
      <c r="B12" s="29"/>
      <c r="C12" s="30"/>
      <c r="D12" s="38"/>
      <c r="E12" s="29"/>
      <c r="F12" s="29"/>
    </row>
    <row r="13" spans="1:6">
      <c r="B13" s="3" t="s">
        <v>74</v>
      </c>
      <c r="C13" s="10">
        <v>109.41</v>
      </c>
    </row>
    <row r="14" spans="1:6">
      <c r="B14" s="3" t="s">
        <v>75</v>
      </c>
      <c r="C14" s="10">
        <v>46.79</v>
      </c>
    </row>
    <row r="15" spans="1:6">
      <c r="C15" s="10"/>
    </row>
    <row r="16" spans="1:6" s="36" customFormat="1" ht="23.25">
      <c r="A16" s="34"/>
      <c r="B16" s="34" t="s">
        <v>76</v>
      </c>
      <c r="C16" s="35"/>
      <c r="D16" s="32"/>
      <c r="E16" s="34"/>
      <c r="F16" s="34"/>
    </row>
    <row r="17" spans="1:8">
      <c r="B17" s="69"/>
      <c r="C17" s="70">
        <f>+C19*C20*C21*C22</f>
        <v>112.183802496</v>
      </c>
      <c r="D17" s="71" t="s">
        <v>77</v>
      </c>
      <c r="E17" s="71"/>
      <c r="F17" s="71"/>
      <c r="G17" s="71"/>
      <c r="H17" s="71"/>
    </row>
    <row r="18" spans="1:8">
      <c r="B18" s="69"/>
      <c r="C18" s="70"/>
      <c r="D18" s="71"/>
      <c r="E18" s="71"/>
      <c r="F18" s="71"/>
      <c r="G18" s="71"/>
      <c r="H18" s="71"/>
    </row>
    <row r="19" spans="1:8">
      <c r="B19"/>
      <c r="C19" s="10">
        <v>293</v>
      </c>
      <c r="D19" s="39" t="s">
        <v>79</v>
      </c>
    </row>
    <row r="20" spans="1:8">
      <c r="C20" s="10">
        <v>4.4314799999999996</v>
      </c>
      <c r="D20" s="39" t="s">
        <v>78</v>
      </c>
    </row>
    <row r="21" spans="1:8" ht="18" customHeight="1">
      <c r="C21" s="10">
        <v>8.6400000000000005E-2</v>
      </c>
      <c r="D21" s="39" t="s">
        <v>80</v>
      </c>
    </row>
    <row r="22" spans="1:8" ht="18" customHeight="1">
      <c r="B22" s="69"/>
      <c r="C22" s="70">
        <v>1</v>
      </c>
      <c r="D22" s="71" t="s">
        <v>81</v>
      </c>
      <c r="E22" s="71"/>
      <c r="F22" s="71"/>
      <c r="G22" s="71"/>
      <c r="H22" s="71"/>
    </row>
    <row r="23" spans="1:8">
      <c r="B23" s="69"/>
      <c r="C23" s="70"/>
      <c r="D23" s="71"/>
      <c r="E23" s="71"/>
      <c r="F23" s="71"/>
      <c r="G23" s="71"/>
      <c r="H23" s="71"/>
    </row>
    <row r="28" spans="1:8">
      <c r="C28" s="10">
        <f>+C17*360</f>
        <v>40386.168898559998</v>
      </c>
      <c r="D28" s="3" t="s">
        <v>83</v>
      </c>
    </row>
    <row r="29" spans="1:8">
      <c r="B29"/>
      <c r="C29" s="10">
        <f>+C13</f>
        <v>109.41</v>
      </c>
      <c r="D29" s="3" t="s">
        <v>84</v>
      </c>
    </row>
    <row r="30" spans="1:8">
      <c r="C30" s="6">
        <v>1</v>
      </c>
      <c r="D30" s="3" t="s">
        <v>82</v>
      </c>
    </row>
    <row r="31" spans="1:8" s="16" customFormat="1" ht="15.75">
      <c r="A31" s="32"/>
      <c r="C31" s="33">
        <f>+C28*C29</f>
        <v>4418650.7391914492</v>
      </c>
      <c r="D31" s="32"/>
      <c r="E31" s="32"/>
      <c r="F31" s="32"/>
    </row>
    <row r="33" spans="1:8" s="36" customFormat="1" ht="23.25">
      <c r="A33" s="34"/>
      <c r="B33" s="34" t="s">
        <v>85</v>
      </c>
      <c r="C33" s="35"/>
      <c r="D33" s="32"/>
      <c r="E33" s="34"/>
      <c r="F33" s="34"/>
    </row>
    <row r="34" spans="1:8">
      <c r="B34" s="69"/>
      <c r="C34" s="70">
        <f>+C36*C37*C38*C39</f>
        <v>54.368941823999997</v>
      </c>
      <c r="D34" s="71" t="s">
        <v>77</v>
      </c>
      <c r="E34" s="71"/>
      <c r="F34" s="71"/>
      <c r="G34" s="71"/>
      <c r="H34" s="71"/>
    </row>
    <row r="35" spans="1:8">
      <c r="B35" s="69"/>
      <c r="C35" s="70"/>
      <c r="D35" s="71"/>
      <c r="E35" s="71"/>
      <c r="F35" s="71"/>
      <c r="G35" s="71"/>
      <c r="H35" s="71"/>
    </row>
    <row r="36" spans="1:8">
      <c r="B36"/>
      <c r="C36" s="10">
        <v>142</v>
      </c>
      <c r="D36" s="39" t="s">
        <v>79</v>
      </c>
    </row>
    <row r="37" spans="1:8">
      <c r="C37" s="10">
        <f>+C20</f>
        <v>4.4314799999999996</v>
      </c>
      <c r="D37" s="39" t="s">
        <v>78</v>
      </c>
    </row>
    <row r="38" spans="1:8" ht="18" customHeight="1">
      <c r="C38" s="10">
        <v>8.6400000000000005E-2</v>
      </c>
      <c r="D38" s="39" t="s">
        <v>80</v>
      </c>
    </row>
    <row r="39" spans="1:8" ht="18" customHeight="1">
      <c r="B39" s="69"/>
      <c r="C39" s="70">
        <v>1</v>
      </c>
      <c r="D39" s="71" t="s">
        <v>81</v>
      </c>
      <c r="E39" s="71"/>
      <c r="F39" s="71"/>
      <c r="G39" s="71"/>
      <c r="H39" s="71"/>
    </row>
    <row r="40" spans="1:8">
      <c r="B40" s="69"/>
      <c r="C40" s="70"/>
      <c r="D40" s="71"/>
      <c r="E40" s="71"/>
      <c r="F40" s="71"/>
      <c r="G40" s="71"/>
      <c r="H40" s="71"/>
    </row>
    <row r="45" spans="1:8">
      <c r="C45" s="10">
        <f>+C34*360</f>
        <v>19572.819056639997</v>
      </c>
      <c r="D45" s="3" t="s">
        <v>83</v>
      </c>
    </row>
    <row r="46" spans="1:8">
      <c r="B46"/>
      <c r="C46" s="10">
        <f>+C14</f>
        <v>46.79</v>
      </c>
      <c r="D46" s="3" t="s">
        <v>84</v>
      </c>
    </row>
    <row r="47" spans="1:8">
      <c r="C47" s="6">
        <v>1</v>
      </c>
      <c r="D47" s="3" t="s">
        <v>82</v>
      </c>
    </row>
    <row r="48" spans="1:8" s="16" customFormat="1" ht="15.75">
      <c r="A48" s="32"/>
      <c r="C48" s="33">
        <f>+C45*C46</f>
        <v>915812.20366018545</v>
      </c>
      <c r="D48" s="32"/>
      <c r="E48" s="32"/>
      <c r="F48" s="32"/>
    </row>
    <row r="54" spans="1:6" s="12" customFormat="1" ht="21">
      <c r="A54" s="11"/>
      <c r="B54" s="11"/>
      <c r="C54" s="13">
        <v>2079022</v>
      </c>
      <c r="D54" s="11"/>
      <c r="E54" s="11"/>
      <c r="F54" s="11"/>
    </row>
    <row r="56" spans="1:6" s="12" customFormat="1" ht="21">
      <c r="A56" s="11"/>
      <c r="C56" s="13">
        <f>+DATOS!B24</f>
        <v>58925</v>
      </c>
      <c r="D56" s="11"/>
      <c r="E56" s="11"/>
      <c r="F56" s="11"/>
    </row>
    <row r="58" spans="1:6" s="12" customFormat="1" ht="21">
      <c r="A58" s="11"/>
      <c r="C58" s="13">
        <f>+C54/C56</f>
        <v>35.282511667373782</v>
      </c>
      <c r="D58" s="11"/>
      <c r="E58" s="11"/>
      <c r="F58" s="11"/>
    </row>
  </sheetData>
  <mergeCells count="12">
    <mergeCell ref="C22:C23"/>
    <mergeCell ref="C17:C18"/>
    <mergeCell ref="B17:B18"/>
    <mergeCell ref="D17:H18"/>
    <mergeCell ref="B22:B23"/>
    <mergeCell ref="D22:H23"/>
    <mergeCell ref="B34:B35"/>
    <mergeCell ref="C34:C35"/>
    <mergeCell ref="D34:H35"/>
    <mergeCell ref="B39:B40"/>
    <mergeCell ref="C39:C40"/>
    <mergeCell ref="D39:H40"/>
  </mergeCells>
  <hyperlinks>
    <hyperlink ref="A11" r:id="rId1" tooltip="Nuevo enlace a la Resolución 240 de 2004" display="http://www.minambiente.gov.co/documentos/res_0240_080304.pdf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DATOS</vt:lpstr>
      <vt:lpstr>CMA</vt:lpstr>
      <vt:lpstr>CMA ac y al</vt:lpstr>
      <vt:lpstr>CMO</vt:lpstr>
      <vt:lpstr>CMO ac y al</vt:lpstr>
      <vt:lpstr>CMI</vt:lpstr>
      <vt:lpstr>CMI ac y al</vt:lpstr>
      <vt:lpstr>CMT Ac</vt:lpstr>
      <vt:lpstr>CMT Al</vt:lpstr>
      <vt:lpstr>TARIFA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Toloza</dc:creator>
  <cp:lastModifiedBy>WinuE</cp:lastModifiedBy>
  <dcterms:created xsi:type="dcterms:W3CDTF">2012-03-25T16:17:54Z</dcterms:created>
  <dcterms:modified xsi:type="dcterms:W3CDTF">2013-09-30T19:37:45Z</dcterms:modified>
</cp:coreProperties>
</file>